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120" windowWidth="20610" windowHeight="11640"/>
  </bookViews>
  <sheets>
    <sheet name="ВО корр-ка 2023 " sheetId="1" r:id="rId1"/>
  </sheets>
  <externalReferences>
    <externalReference r:id="rId2"/>
  </externalReferences>
  <definedNames>
    <definedName name="_xlnm.Print_Titles" localSheetId="0">'ВО корр-ка 2023 '!$7:$8</definedName>
    <definedName name="_xlnm.Print_Area" localSheetId="0">'ВО корр-ка 2023 '!$A$1:$K$150</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143" i="1" l="1"/>
  <c r="I99" i="1" l="1"/>
  <c r="G108" i="1"/>
  <c r="G99" i="1"/>
  <c r="G91" i="1"/>
  <c r="G83" i="1"/>
  <c r="G63" i="1"/>
  <c r="G41" i="1"/>
  <c r="G37" i="1"/>
  <c r="E91" i="1" l="1"/>
  <c r="E63" i="1"/>
  <c r="E37" i="1"/>
  <c r="F108" i="1"/>
  <c r="F99" i="1"/>
  <c r="F91" i="1"/>
  <c r="I91" i="1" s="1"/>
  <c r="F63" i="1"/>
  <c r="F41" i="1"/>
  <c r="F37" i="1"/>
  <c r="D108" i="1"/>
  <c r="D99" i="1"/>
  <c r="D91" i="1"/>
  <c r="D63" i="1"/>
  <c r="D41" i="1"/>
  <c r="D37" i="1"/>
  <c r="I59" i="1" l="1"/>
  <c r="I64" i="1" l="1"/>
  <c r="I42" i="1"/>
  <c r="I38" i="1"/>
  <c r="I33" i="1"/>
  <c r="I34" i="1"/>
  <c r="I36" i="1"/>
  <c r="I37" i="1"/>
  <c r="I40" i="1"/>
  <c r="I41" i="1"/>
  <c r="I44" i="1"/>
  <c r="I45" i="1"/>
  <c r="I47" i="1"/>
  <c r="I48" i="1"/>
  <c r="I49" i="1"/>
  <c r="I50" i="1"/>
  <c r="I51" i="1"/>
  <c r="I52" i="1"/>
  <c r="I53" i="1"/>
  <c r="I55" i="1"/>
  <c r="I56" i="1"/>
  <c r="I57" i="1"/>
  <c r="I58" i="1"/>
  <c r="I62" i="1"/>
  <c r="I63" i="1"/>
  <c r="I66" i="1"/>
  <c r="I67" i="1"/>
  <c r="I68" i="1"/>
  <c r="I69" i="1"/>
  <c r="I70" i="1"/>
  <c r="I71" i="1"/>
  <c r="I72" i="1"/>
  <c r="I73" i="1"/>
  <c r="I74" i="1"/>
  <c r="I75" i="1"/>
  <c r="I76" i="1"/>
  <c r="I77" i="1"/>
  <c r="I78" i="1"/>
  <c r="I79" i="1"/>
  <c r="I80" i="1"/>
  <c r="I30" i="1" l="1"/>
  <c r="B145" i="1" l="1"/>
  <c r="B144" i="1"/>
  <c r="K143" i="1"/>
  <c r="K142" i="1"/>
  <c r="K141" i="1"/>
  <c r="K140" i="1"/>
  <c r="K139" i="1"/>
  <c r="K138" i="1"/>
  <c r="K137" i="1"/>
  <c r="K136" i="1"/>
  <c r="I135" i="1"/>
  <c r="G135" i="1"/>
  <c r="F135" i="1"/>
  <c r="K135" i="1" s="1"/>
  <c r="E135" i="1"/>
  <c r="D135" i="1"/>
  <c r="K134" i="1"/>
  <c r="K133" i="1"/>
  <c r="K132" i="1"/>
  <c r="K131" i="1"/>
  <c r="K130" i="1"/>
  <c r="K129" i="1"/>
  <c r="K128" i="1"/>
  <c r="K127" i="1"/>
  <c r="K126" i="1"/>
  <c r="K125" i="1"/>
  <c r="I124" i="1"/>
  <c r="G124" i="1"/>
  <c r="G117" i="1" s="1"/>
  <c r="F124" i="1"/>
  <c r="K124" i="1" s="1"/>
  <c r="E124" i="1"/>
  <c r="D124" i="1"/>
  <c r="D117" i="1" s="1"/>
  <c r="K123" i="1"/>
  <c r="K122" i="1"/>
  <c r="K121" i="1"/>
  <c r="K120" i="1"/>
  <c r="K119" i="1"/>
  <c r="K118" i="1"/>
  <c r="I117" i="1"/>
  <c r="F117" i="1"/>
  <c r="E117" i="1"/>
  <c r="K116" i="1"/>
  <c r="K115" i="1"/>
  <c r="K114" i="1"/>
  <c r="K113" i="1"/>
  <c r="K112" i="1"/>
  <c r="K111" i="1"/>
  <c r="K109" i="1"/>
  <c r="K107" i="1"/>
  <c r="K106" i="1"/>
  <c r="K105" i="1"/>
  <c r="K104" i="1"/>
  <c r="K103" i="1"/>
  <c r="K102" i="1"/>
  <c r="K101" i="1"/>
  <c r="K100" i="1"/>
  <c r="K99" i="1"/>
  <c r="G98" i="1"/>
  <c r="G97" i="1" s="1"/>
  <c r="F98" i="1"/>
  <c r="E98" i="1"/>
  <c r="D98" i="1"/>
  <c r="K95" i="1"/>
  <c r="K94" i="1"/>
  <c r="I93" i="1"/>
  <c r="G93" i="1"/>
  <c r="F93" i="1"/>
  <c r="E93" i="1"/>
  <c r="D93" i="1"/>
  <c r="K92" i="1"/>
  <c r="K91" i="1"/>
  <c r="K90" i="1"/>
  <c r="K89" i="1"/>
  <c r="K88" i="1"/>
  <c r="K87" i="1"/>
  <c r="K86" i="1"/>
  <c r="K85" i="1"/>
  <c r="K84" i="1"/>
  <c r="I83" i="1"/>
  <c r="F83" i="1"/>
  <c r="K83" i="1" s="1"/>
  <c r="D83" i="1"/>
  <c r="I82" i="1"/>
  <c r="G82" i="1"/>
  <c r="G81" i="1" s="1"/>
  <c r="F82" i="1"/>
  <c r="F81" i="1" s="1"/>
  <c r="E82" i="1"/>
  <c r="D82" i="1"/>
  <c r="K80" i="1"/>
  <c r="K79" i="1"/>
  <c r="K78" i="1"/>
  <c r="K77" i="1"/>
  <c r="K76" i="1"/>
  <c r="K75" i="1"/>
  <c r="K74" i="1"/>
  <c r="K73" i="1"/>
  <c r="K72" i="1"/>
  <c r="K71" i="1"/>
  <c r="K70" i="1"/>
  <c r="K69" i="1"/>
  <c r="K68" i="1"/>
  <c r="K67" i="1"/>
  <c r="K66" i="1"/>
  <c r="G65" i="1"/>
  <c r="G61" i="1" s="1"/>
  <c r="E61" i="1"/>
  <c r="D65" i="1"/>
  <c r="D61" i="1" s="1"/>
  <c r="K64" i="1"/>
  <c r="K63" i="1"/>
  <c r="K62" i="1"/>
  <c r="G60" i="1"/>
  <c r="G54" i="1" s="1"/>
  <c r="F60" i="1"/>
  <c r="I60" i="1" s="1"/>
  <c r="E60" i="1"/>
  <c r="E54" i="1" s="1"/>
  <c r="D60" i="1"/>
  <c r="D54" i="1" s="1"/>
  <c r="K59" i="1"/>
  <c r="K58" i="1"/>
  <c r="K57" i="1"/>
  <c r="K56" i="1"/>
  <c r="K55" i="1"/>
  <c r="F54" i="1"/>
  <c r="I54" i="1" s="1"/>
  <c r="K53" i="1"/>
  <c r="K52" i="1"/>
  <c r="K51" i="1"/>
  <c r="K50" i="1"/>
  <c r="K49" i="1"/>
  <c r="K48" i="1"/>
  <c r="K47" i="1"/>
  <c r="G46" i="1"/>
  <c r="F46" i="1"/>
  <c r="I46" i="1" s="1"/>
  <c r="E46" i="1"/>
  <c r="D46" i="1"/>
  <c r="K45" i="1"/>
  <c r="K44" i="1"/>
  <c r="G43" i="1"/>
  <c r="F43" i="1"/>
  <c r="I43" i="1" s="1"/>
  <c r="E43" i="1"/>
  <c r="D43" i="1"/>
  <c r="K42" i="1"/>
  <c r="K41" i="1"/>
  <c r="K40" i="1"/>
  <c r="G39" i="1"/>
  <c r="G35" i="1" s="1"/>
  <c r="G32" i="1" s="1"/>
  <c r="E35" i="1"/>
  <c r="D39" i="1"/>
  <c r="D35" i="1" s="1"/>
  <c r="D32" i="1" s="1"/>
  <c r="K38" i="1"/>
  <c r="K37" i="1"/>
  <c r="K36" i="1"/>
  <c r="F35" i="1"/>
  <c r="I35" i="1" s="1"/>
  <c r="K34" i="1"/>
  <c r="K33" i="1"/>
  <c r="F31" i="1"/>
  <c r="K31" i="1" s="1"/>
  <c r="K30" i="1"/>
  <c r="K29" i="1"/>
  <c r="K28" i="1"/>
  <c r="K27" i="1"/>
  <c r="K26" i="1"/>
  <c r="K23" i="1"/>
  <c r="K22" i="1"/>
  <c r="K20" i="1"/>
  <c r="K19" i="1"/>
  <c r="K18" i="1"/>
  <c r="K17" i="1"/>
  <c r="K16" i="1"/>
  <c r="K15" i="1"/>
  <c r="K14" i="1"/>
  <c r="I13" i="1"/>
  <c r="I10" i="1" s="1"/>
  <c r="I21" i="1" s="1"/>
  <c r="G13" i="1"/>
  <c r="F13" i="1"/>
  <c r="E13" i="1"/>
  <c r="D13" i="1"/>
  <c r="D10" i="1" s="1"/>
  <c r="D21" i="1" s="1"/>
  <c r="K12" i="1"/>
  <c r="K11" i="1"/>
  <c r="K117" i="1" l="1"/>
  <c r="E97" i="1"/>
  <c r="G10" i="1"/>
  <c r="G96" i="1" s="1"/>
  <c r="E32" i="1"/>
  <c r="E25" i="1" s="1"/>
  <c r="E10" i="1"/>
  <c r="E21" i="1" s="1"/>
  <c r="F97" i="1"/>
  <c r="K82" i="1"/>
  <c r="K60" i="1"/>
  <c r="F61" i="1"/>
  <c r="I61" i="1" s="1"/>
  <c r="I65" i="1"/>
  <c r="K65" i="1" s="1"/>
  <c r="I39" i="1"/>
  <c r="K39" i="1" s="1"/>
  <c r="F10" i="1"/>
  <c r="F21" i="1" s="1"/>
  <c r="K13" i="1"/>
  <c r="D25" i="1"/>
  <c r="D96" i="1"/>
  <c r="F32" i="1"/>
  <c r="I32" i="1" s="1"/>
  <c r="D97" i="1"/>
  <c r="K10" i="1"/>
  <c r="I81" i="1"/>
  <c r="K81" i="1" s="1"/>
  <c r="K93" i="1"/>
  <c r="G25" i="1"/>
  <c r="G24" i="1" s="1"/>
  <c r="G144" i="1" s="1"/>
  <c r="G145" i="1" s="1"/>
  <c r="K43" i="1"/>
  <c r="D81" i="1"/>
  <c r="E81" i="1"/>
  <c r="K46" i="1"/>
  <c r="K21" i="1"/>
  <c r="G21" i="1"/>
  <c r="K35" i="1"/>
  <c r="K54" i="1"/>
  <c r="F96" i="1" l="1"/>
  <c r="E96" i="1"/>
  <c r="K61" i="1"/>
  <c r="D24" i="1"/>
  <c r="D144" i="1" s="1"/>
  <c r="D145" i="1" s="1"/>
  <c r="F25" i="1"/>
  <c r="I25" i="1" s="1"/>
  <c r="K32" i="1"/>
  <c r="E24" i="1"/>
  <c r="E144" i="1" s="1"/>
  <c r="E145" i="1" s="1"/>
  <c r="I96" i="1"/>
  <c r="F24" i="1" l="1"/>
  <c r="K96" i="1"/>
  <c r="K25" i="1"/>
  <c r="F144" i="1" l="1"/>
  <c r="F145" i="1" s="1"/>
  <c r="F146" i="1" l="1"/>
  <c r="G146" i="1"/>
  <c r="I110" i="1" l="1"/>
  <c r="I108" i="1" l="1"/>
  <c r="K110" i="1"/>
  <c r="K108" i="1" l="1"/>
  <c r="I98" i="1"/>
  <c r="K98" i="1" l="1"/>
  <c r="I97" i="1"/>
  <c r="K97" i="1" l="1"/>
  <c r="I24" i="1"/>
  <c r="K24" i="1" l="1"/>
  <c r="I144" i="1"/>
  <c r="I145" i="1" l="1"/>
  <c r="K144" i="1"/>
  <c r="I146" i="1" l="1"/>
  <c r="K145" i="1"/>
</calcChain>
</file>

<file path=xl/sharedStrings.xml><?xml version="1.0" encoding="utf-8"?>
<sst xmlns="http://schemas.openxmlformats.org/spreadsheetml/2006/main" count="447" uniqueCount="251">
  <si>
    <t>№ п/п</t>
  </si>
  <si>
    <t>Наименование показателя</t>
  </si>
  <si>
    <t>Единица
измерений</t>
  </si>
  <si>
    <t>Представлено Предприятием в качестве обоснования</t>
  </si>
  <si>
    <t>Обоснование причин и ссылки на правовые нормы, на основании которых органом регулирования проведен расчет расходов и объема отпуска услуг, а также принято решение об исключении из расчета тарифов экономически не обоснованных расходов, учтенных регулируемой организацией в предложении об установлении тарифов</t>
  </si>
  <si>
    <t>план</t>
  </si>
  <si>
    <t>факт</t>
  </si>
  <si>
    <t>Баланс:</t>
  </si>
  <si>
    <t>1.</t>
  </si>
  <si>
    <t>Пропущено сточных вод всего</t>
  </si>
  <si>
    <t>куб. м</t>
  </si>
  <si>
    <t>1.1.</t>
  </si>
  <si>
    <t>Собственные нужды</t>
  </si>
  <si>
    <t>1.2.</t>
  </si>
  <si>
    <t>Принято сточных вод от других канализаций</t>
  </si>
  <si>
    <t>1.3.</t>
  </si>
  <si>
    <t>Объем реализации услуг по потребителям всего, в том числе:</t>
  </si>
  <si>
    <t>1.3.1.</t>
  </si>
  <si>
    <t>бюджетным потребителям</t>
  </si>
  <si>
    <t>1.3.2.</t>
  </si>
  <si>
    <t>населению</t>
  </si>
  <si>
    <t>1.3.3.</t>
  </si>
  <si>
    <t>прочим потребителям</t>
  </si>
  <si>
    <t>2.</t>
  </si>
  <si>
    <t>Пропущено через собственные очистные сооружения</t>
  </si>
  <si>
    <t>3.</t>
  </si>
  <si>
    <t>Передано сточных вод другим канализациям:</t>
  </si>
  <si>
    <t>3.1.</t>
  </si>
  <si>
    <t>на очистные сооружения</t>
  </si>
  <si>
    <t>3.2.</t>
  </si>
  <si>
    <t>для транспортирования</t>
  </si>
  <si>
    <t>4.</t>
  </si>
  <si>
    <t>Сброшено стоков без очистки</t>
  </si>
  <si>
    <t>Расчет необходимой валовой выручки:</t>
  </si>
  <si>
    <t>Является плательщиком НДС (да/нет)</t>
  </si>
  <si>
    <t>Текущие расходы</t>
  </si>
  <si>
    <t>тыс. руб.</t>
  </si>
  <si>
    <t>По нижеприведенным основаниям.</t>
  </si>
  <si>
    <t>Операционные расходы</t>
  </si>
  <si>
    <t>Параметры расчета:</t>
  </si>
  <si>
    <t>индекс эффективности операционных расходов</t>
  </si>
  <si>
    <t>%</t>
  </si>
  <si>
    <t>-</t>
  </si>
  <si>
    <t>Долгосрочный параметр регулирования в соответствии с п.79 Основ ценообразования.</t>
  </si>
  <si>
    <t>индекс потребительских цен</t>
  </si>
  <si>
    <t>ИЦП (обеспечение электрической энергией, газом и паром; кондиционирование воздуха)</t>
  </si>
  <si>
    <t>размер страховых взносов</t>
  </si>
  <si>
    <t>индекс изменения количества активов</t>
  </si>
  <si>
    <t>1.1.1.</t>
  </si>
  <si>
    <t>Производственные расходы</t>
  </si>
  <si>
    <t>1.1.1.1.</t>
  </si>
  <si>
    <t>Расходы на приобретение сырья и материалов и их хранение</t>
  </si>
  <si>
    <t>1.1.1.2.</t>
  </si>
  <si>
    <t>Расходы на оплату регулируемыми организациями выполняемых сторонними организациями работ и (или) услуг</t>
  </si>
  <si>
    <t>1.1.1.3.</t>
  </si>
  <si>
    <t>Расходы на оплату труда и страховые взносы производственного персонала,
в том числе:</t>
  </si>
  <si>
    <t>1.1.1.3.1.</t>
  </si>
  <si>
    <t>Фонд оплаты труда основного производственного персонала</t>
  </si>
  <si>
    <t>Среднемесячная оплата труда основного производственного персонала</t>
  </si>
  <si>
    <t>руб./мес.</t>
  </si>
  <si>
    <t>Численность (среднесписочная) основного производственного персонала, принятая для расчета</t>
  </si>
  <si>
    <t>ед.</t>
  </si>
  <si>
    <t>1.1.1.3.2.</t>
  </si>
  <si>
    <t>Страховые взносы от оплаты труда основного производственного персонала</t>
  </si>
  <si>
    <t>1.1.1.3.3.</t>
  </si>
  <si>
    <t>Фонд оплаты труда цехового персонала</t>
  </si>
  <si>
    <t>Среднемесячная оплата труда цехового персонала</t>
  </si>
  <si>
    <t>Численность (среднесписочная) цехового персонала, принятая для расчета</t>
  </si>
  <si>
    <t>1.1.1.3.4.</t>
  </si>
  <si>
    <t>Страховые взносы от оплаты труда цехового персонала</t>
  </si>
  <si>
    <t>1.1.1.4.</t>
  </si>
  <si>
    <t>Расходы на уплату процентов по займам и кредитам, не учитываемые при определении налогооблагаемой базы налога на прибыль</t>
  </si>
  <si>
    <t>1.1.1.5.</t>
  </si>
  <si>
    <t>Общехозяйственные расходы</t>
  </si>
  <si>
    <t>1.1.1.6.</t>
  </si>
  <si>
    <t>Прочие производственные расходы</t>
  </si>
  <si>
    <t>1.1.1.6.1.</t>
  </si>
  <si>
    <t>Расходы на обезвоживание, обезвреживание и захоронение осадка сточных вод</t>
  </si>
  <si>
    <t>1.1.1.6.2.</t>
  </si>
  <si>
    <t>Расходы на осуществление производственного контроля состава и свойств сточных вод, включая расходы на оборудование лабораторий, приобретение приборов и реагентов</t>
  </si>
  <si>
    <t>1.1.1.6.3.</t>
  </si>
  <si>
    <t>Расходы на амортизацию автотранспорта</t>
  </si>
  <si>
    <t>1.1.1.6.4.</t>
  </si>
  <si>
    <t>Расходы на приобретение (использование) вспомогательных материалов, запасных частей</t>
  </si>
  <si>
    <t>1.1.1.6.5.</t>
  </si>
  <si>
    <t>Расходы на эксплуатацию, техническое обслуживание и ремонт автотранспорта</t>
  </si>
  <si>
    <t>1.1.1.6.6.</t>
  </si>
  <si>
    <t>Расходы на аварийно-диспетчерское обслуживание</t>
  </si>
  <si>
    <t>1.1.1.6.7.</t>
  </si>
  <si>
    <t>Расходы на охрану труда</t>
  </si>
  <si>
    <t>1.1.2.</t>
  </si>
  <si>
    <t>Ремонтные расходы</t>
  </si>
  <si>
    <t>1.1.2.1.</t>
  </si>
  <si>
    <t>Расходы на текущий ремонт централизованных систем водоотведения либо объектов, входящих в состав таких систем</t>
  </si>
  <si>
    <t>1.1.2.2.</t>
  </si>
  <si>
    <t>Расходы на капитальный ремонт централизованных систем водоотведения либо объектов, входящих в состав таких систем</t>
  </si>
  <si>
    <t>1.1.2.3.</t>
  </si>
  <si>
    <t>Расходы на оплату труда ремонтного персонала</t>
  </si>
  <si>
    <t>Среднемесячная оплата труда ремонтного персонала</t>
  </si>
  <si>
    <t>Численность (среднесписочная) ремонтного персонала, принятая для расчета</t>
  </si>
  <si>
    <t>1.1.2.4.</t>
  </si>
  <si>
    <t>Страховые взносы от оплаты труда ремонтного персонала</t>
  </si>
  <si>
    <t>1.1.3.</t>
  </si>
  <si>
    <t>Административные расходы</t>
  </si>
  <si>
    <t>1.1.3.1.</t>
  </si>
  <si>
    <t>Фонд оплаты труда административного персонала</t>
  </si>
  <si>
    <t>Среднемесячная оплата труда административного персонала</t>
  </si>
  <si>
    <t>Численность (среднесписочная) административного персонала, относимая на регулируемый вид деятельности</t>
  </si>
  <si>
    <t>1.1.3.2.</t>
  </si>
  <si>
    <t>Страховые взносы от оплаты труда административного персонала</t>
  </si>
  <si>
    <t>1.1.3.3.</t>
  </si>
  <si>
    <t>Административные расходы за исключением расходов на оплату труда и страховых взносов административно-управленческого персонала:</t>
  </si>
  <si>
    <t>Расходы на оплату работ и услуг, выполняемых сторонними организациями:</t>
  </si>
  <si>
    <t>услуги связи и интернет</t>
  </si>
  <si>
    <t>юридические услуги</t>
  </si>
  <si>
    <t>аудиторские услуги</t>
  </si>
  <si>
    <t>консультационные услуги</t>
  </si>
  <si>
    <t>услуги по вневедомственной охране объектов и территорий</t>
  </si>
  <si>
    <t>информационные услуги</t>
  </si>
  <si>
    <t>Арендная плата, лизинговые платежи, не связанные с арендой (лизингом) централизованных систем водоотведения либо объектов, входящих в состав таких систем</t>
  </si>
  <si>
    <t>Служебные командировки</t>
  </si>
  <si>
    <t>Обучение персонала</t>
  </si>
  <si>
    <t>5.</t>
  </si>
  <si>
    <t>Расходы на страхование производственных объектов, учитываемые при определении базы по налогу на прибыль</t>
  </si>
  <si>
    <t>6.</t>
  </si>
  <si>
    <t>Прочие административные расходы:</t>
  </si>
  <si>
    <t>Расходы на амортизацию непроизводственных активов</t>
  </si>
  <si>
    <t>Расходы на оплату услуг сторонних организаций по обеспечению безопасности функционирования объектов централизованных систем водоотведения, в том числе расходы на защиту от террористических угроз</t>
  </si>
  <si>
    <t>Расходы на электрическую энергию и мощность</t>
  </si>
  <si>
    <t>1.2.1.</t>
  </si>
  <si>
    <t>Расходы на покупку электрической энергии</t>
  </si>
  <si>
    <t>Объем покупной энергии:</t>
  </si>
  <si>
    <t>кВт-ч</t>
  </si>
  <si>
    <t>НН</t>
  </si>
  <si>
    <t>СН1</t>
  </si>
  <si>
    <t>СН2</t>
  </si>
  <si>
    <t>ВН</t>
  </si>
  <si>
    <t>Тариф на электрическую энергию:</t>
  </si>
  <si>
    <t>руб./ кВт-ч</t>
  </si>
  <si>
    <t>1.2.2.</t>
  </si>
  <si>
    <t>Расходы на покупку мощности</t>
  </si>
  <si>
    <t xml:space="preserve">Мощность </t>
  </si>
  <si>
    <t>МВт в мес.</t>
  </si>
  <si>
    <t>Ставка за мощность</t>
  </si>
  <si>
    <t>руб./ МВт в мес.</t>
  </si>
  <si>
    <t>1.2.3.</t>
  </si>
  <si>
    <t>Удельный расход электрической энергии</t>
  </si>
  <si>
    <t>кВт-ч/куб. м</t>
  </si>
  <si>
    <t>Неподконтрольные расходы</t>
  </si>
  <si>
    <t>Расходы на оплату товаров (услуг, работ), приобретаемых у других организаций, осуществляющих регулируемые виды деятельности</t>
  </si>
  <si>
    <t>1.3.1.1.</t>
  </si>
  <si>
    <t>Расходы на тепловую энергию</t>
  </si>
  <si>
    <t>объем тепловой энергии</t>
  </si>
  <si>
    <t>Гкал</t>
  </si>
  <si>
    <t>тариф на тепловую энергию</t>
  </si>
  <si>
    <t>руб./Гкал</t>
  </si>
  <si>
    <t>1.3.1.2.</t>
  </si>
  <si>
    <t>Расходы на горячую воду</t>
  </si>
  <si>
    <t>объем горячей воды</t>
  </si>
  <si>
    <t>тариф на горячую воду</t>
  </si>
  <si>
    <t>руб./куб. м</t>
  </si>
  <si>
    <t>1.3.1.3.</t>
  </si>
  <si>
    <t>Расходы на транспортировку воды</t>
  </si>
  <si>
    <t>объем транспортируемой воды</t>
  </si>
  <si>
    <t>тариф на транспортировку воды</t>
  </si>
  <si>
    <t>1.3.1.4.</t>
  </si>
  <si>
    <t>Расходы на покупку воды</t>
  </si>
  <si>
    <t>объем покупной воды</t>
  </si>
  <si>
    <t>тариф на воду</t>
  </si>
  <si>
    <t>1.3.1.5.</t>
  </si>
  <si>
    <t>Расходы на водоотведение</t>
  </si>
  <si>
    <t>объем услуги водоотведение</t>
  </si>
  <si>
    <t>тариф на водоотведение</t>
  </si>
  <si>
    <t>1.3.1.6.</t>
  </si>
  <si>
    <t xml:space="preserve">Расходы на транспортировку сточных вод </t>
  </si>
  <si>
    <t>объем транспортируемых сточных вод</t>
  </si>
  <si>
    <t xml:space="preserve">тариф на транспортировку сточных вод </t>
  </si>
  <si>
    <t>Расходы на уплату налогов, сборов и других обязательных платежей</t>
  </si>
  <si>
    <t>1.3.2.1.</t>
  </si>
  <si>
    <t>Налог на прибыль</t>
  </si>
  <si>
    <t>1.3.2.2.</t>
  </si>
  <si>
    <t>Налог на имущество организаций</t>
  </si>
  <si>
    <t>1.3.2.3.</t>
  </si>
  <si>
    <t>Земельный налог и арендная плата за землю</t>
  </si>
  <si>
    <t>1.3.2.4.</t>
  </si>
  <si>
    <t>Плата за пользование водным объектом</t>
  </si>
  <si>
    <t>1.3.2.5.</t>
  </si>
  <si>
    <t>Транспортный налог</t>
  </si>
  <si>
    <t>1.3.2.6.</t>
  </si>
  <si>
    <t>Плата за негативное воздействие на окружающую среду</t>
  </si>
  <si>
    <t>1.3.2.7.</t>
  </si>
  <si>
    <t>Прочие налоги и сборы:</t>
  </si>
  <si>
    <t>Единый налог, уплачиваемый организацией, применяющей упрощенную систему налогообложения</t>
  </si>
  <si>
    <t>Расходы на арендную плату, концессионную плату и лизинговые платежи в отношении централизованных систем водоотведения либо объектов, входящих в состав таких систем</t>
  </si>
  <si>
    <t>1.3.4.</t>
  </si>
  <si>
    <t>Сбытовые расходы гарантирующей организации (расходы по сомнительным долгам (дебиторской задолженности)</t>
  </si>
  <si>
    <t>1.3.5.</t>
  </si>
  <si>
    <t>Экономия средств, достигнутая в результате снижения расходов предыдущего долгосрочного периода регулирования</t>
  </si>
  <si>
    <t>1.3.6.</t>
  </si>
  <si>
    <t>Расходы на обслуживание бесхозяйных сетей</t>
  </si>
  <si>
    <t>1.3.7.</t>
  </si>
  <si>
    <t>Расходы на компенсацию экономически обоснованных расходов, не учтенных органом регулирования тарифов при установлении тарифов в прошлые периоды регулирования, и (или) недополученных доходов</t>
  </si>
  <si>
    <t>1.3.8.</t>
  </si>
  <si>
    <t>Займы и кредиты (для метода индексации)</t>
  </si>
  <si>
    <t>1.3.8.1.</t>
  </si>
  <si>
    <t>Возврат займов и кредитов</t>
  </si>
  <si>
    <t>1.3.8.2.</t>
  </si>
  <si>
    <t>Проценты по займам и кредитам</t>
  </si>
  <si>
    <t>Амортизация</t>
  </si>
  <si>
    <t>Нормативная прибыль</t>
  </si>
  <si>
    <t>Расходы на капитальные вложения (инвестиции), определяемые в соответствии с утвержденными инвестиционными программами</t>
  </si>
  <si>
    <t>Средства на возврат займов и кредитов, привлекаемых на реализацию мероприятий инвестиционной программы, в размере, определяемом исходя из срока их возврата, предусмотренного договорами займа и кредитными договорами, а также проценты по таким займам и кредитам</t>
  </si>
  <si>
    <t>3.3.</t>
  </si>
  <si>
    <t>Расходы на выплаты, предусмотренные коллективными договорами, не учитываемые при определении налоговой базы налога на прибыль (расходы, относимые на прибыль после налогообложения)</t>
  </si>
  <si>
    <t>Расчетная предпринимательская прибыль гарантирующей организации</t>
  </si>
  <si>
    <t>Величина отклонения показателя ввода объектов системы водоснабжения и (или) водоотведения в эксплуатацию и изменения инвестиционной программы</t>
  </si>
  <si>
    <t>Степень исполнения обязательств по созданию и (или) реконструкции объектов концессионного соглашения, по эксплуатации объектов по договору аренды централизованных систем горячего водоснабжения, холодного водоснабжения и (или) водоотведения, отдельных объектов таких систем, находящихся в государственной или муниципальной собственности, по реализации инвестиционной программы, производственной программы при недостижении  утвержденных плановых значений показателей надежности и качества объектов централизованных систем водоснабжения и (или) водоотведения</t>
  </si>
  <si>
    <t>7.</t>
  </si>
  <si>
    <t>Величина изменения НВВ, проводимого в целях сглаживания</t>
  </si>
  <si>
    <t>8.</t>
  </si>
  <si>
    <t>Величина корректировки НВВ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 тарифов</t>
  </si>
  <si>
    <t>9.</t>
  </si>
  <si>
    <t>По вышеприведенным основаниям.</t>
  </si>
  <si>
    <t>10.</t>
  </si>
  <si>
    <t>Определен исходя из принятой необходимой валовой выручки и объема полезного отпуска услуг.</t>
  </si>
  <si>
    <t>11.</t>
  </si>
  <si>
    <t>Темп роста тарифа</t>
  </si>
  <si>
    <t>Ответственный за подготовку экспертного заключения</t>
  </si>
  <si>
    <t>Заявлено Предприятием на 2023 год</t>
  </si>
  <si>
    <t xml:space="preserve">Учтено органом регулирования на 2023 год </t>
  </si>
  <si>
    <t>Рост по отношению к 2022 году, %</t>
  </si>
  <si>
    <t>В соответствии с п. 60 Основ ценообразования операционные расходы определены путем индексации операционных расходов базового периода регулирования с применением нижеприведенных параметров для расчета расходов на 2023 год.</t>
  </si>
  <si>
    <t>Согласно базовому варианту Прогноза социально-экономического развития РФ на 2023 год и на плановый период 2024 и 2025 годов, разработанному Минэкономразвития России в сентябре 2022 года (далее - Прогноз).</t>
  </si>
  <si>
    <t>Рудногорского муниципального образования Нижнеилимского района</t>
  </si>
  <si>
    <t>2021 год утверждено постановлением администрации РГП от 08.12.2020 г. № 137</t>
  </si>
  <si>
    <t>2022 год утверждено постановлением администрации РГП от 17.12.2021 г. № 207</t>
  </si>
  <si>
    <t>Расчет тарифа методом индексации (корректировка) на 2023 год</t>
  </si>
  <si>
    <t>Принят в размере, определенном в действующем тарифе.Корректировка не производилась.</t>
  </si>
  <si>
    <t>Тариф на тепловую энергию принят в соответствии с приказом службы по тарифам ИО от 30 июня 2022 г. № 79-93-спр.</t>
  </si>
  <si>
    <t>Да</t>
  </si>
  <si>
    <t>Представлено приложение 1. "Баланс водоотведения п. Рудногорск"; проект производственной программы в сфере водоотведения ООО "КТ-РЕСУРС" п. Рудногорск на 2023 год.</t>
  </si>
  <si>
    <t>Представлено приложение 2.1. "Расходы на сырье и материалы, водосотведение п. Рудногорск".</t>
  </si>
  <si>
    <t>Представлено приложение 2.2. "Расходы на оплату труда, водоотведение п. Рудногорск".</t>
  </si>
  <si>
    <t>В качестве обоснования заявленных расходов предствлены: договор энергоснабжения № 3409 от 1 июля 2016 г., Расчет среднего за 3 года (2019-2021 годы) объема потребления электроэнергии на территории п. Рудногорск по услуге холодного водоснабжения; копии счетоы фактур за вышеуказанный период.</t>
  </si>
  <si>
    <t>Объем электрической энергии принят в заявленном Обществом размере, тариф на электроэнергию определн с учетом индекса-дефлятора на 2023 год в размере 108%.</t>
  </si>
  <si>
    <t>20% от нормативной прибыли</t>
  </si>
  <si>
    <t>20% от нормативной прибыли за 2022 год.</t>
  </si>
  <si>
    <t xml:space="preserve"> для потребителей ООО "КТ-РЕСУРС", оказывающего услуги водоотведения на территории</t>
  </si>
  <si>
    <t>В соответствии с п.29 Основ ценообразования, тарифы на питьевую воду и водоотведение устанавливаются на основании необходимой валовой выручки, определенной для соответствующего регулируемого вида деятельности и расчетного объема отпуска воды, объема принятых сточных вод. Указанные объемы определяются в соответствии с Методическими указаниями исходя из фактического отпуска воды (приёма сточных вод) за последний отчетный год и динамики отпуска воды (приема сточных вод) за последние 3 года. Расчеты объёмов отпуска услуг в соответствии с Приложениями 1, 1.1. Методических указаний и данные о фактическом объеме полезного отпуска по водоотведению за последние 3 года, статистическая отчетность по форме 22-ЖКХ, 1-канализация с отметкой о принятии органом статистики, ОСВ по 90 счету в разрезе услуг в количественном и стоимостном выражении дополнительно  представлены к регулированию.. Объем полезного отпуска принят исходя из динамики приема сточных вод за 2019-2021 годы.</t>
  </si>
  <si>
    <t>Погодаева Л.В.</t>
  </si>
  <si>
    <t>Скорректирован процент отчислений на страховые взносы по оплате труда ОПП и АУП, в тарифе на 2022 год  ошибочно учтен процент на страховые взносы в размере 30,2% вместо 21,5%.  в размере 408,9 тыс. рублей. Исключены избыточно полученные доходы по статье: "Расходы на капитальный ремонт централизованных систем водоотведения либо объектов, входящих в состав таких систем" в размере 1368,75 тыс. руб.</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</si>
</sst>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р_._-;\-* #,##0.00_р_._-;_-* &quot;-&quot;??_р_._-;_-@_-"/>
    <numFmt numFmtId="165" formatCode="#,##0.0_ ;\-#,##0.0\ "/>
    <numFmt numFmtId="166" formatCode="0.0%"/>
    <numFmt numFmtId="167" formatCode="0.0"/>
    <numFmt numFmtId="168" formatCode="#,##0.0000_ ;\-#,##0.0000\ "/>
    <numFmt numFmtId="169" formatCode="#,##0.00_ ;\-#,##0.00\ "/>
  </numFmts>
  <fonts count="10" x14ac:knownFonts="1">
    <font>
      <sz val="10"/>
      <name val="Arial Cyr"/>
      <charset val="204"/>
    </font>
    <font>
      <sz val="10"/>
      <name val="Arial Cyr"/>
      <charset val="204"/>
    </font>
    <font>
      <sz val="11"/>
      <name val="Times New Roman"/>
      <family val="1"/>
      <charset val="204"/>
    </font>
    <font>
      <b/>
      <sz val="14"/>
      <name val="Times New Roman"/>
      <family val="1"/>
      <charset val="204"/>
    </font>
    <font>
      <b/>
      <sz val="10"/>
      <name val="Times New Roman"/>
      <family val="1"/>
      <charset val="204"/>
    </font>
    <font>
      <sz val="10"/>
      <name val="Times New Roman"/>
      <family val="1"/>
      <charset val="204"/>
    </font>
    <font>
      <sz val="9"/>
      <name val="Times New Roman"/>
      <family val="1"/>
      <charset val="204"/>
    </font>
    <font>
      <b/>
      <sz val="11"/>
      <name val="Times New Roman"/>
      <family val="1"/>
      <charset val="204"/>
    </font>
    <font>
      <i/>
      <sz val="11"/>
      <name val="Times New Roman"/>
      <family val="1"/>
      <charset val="204"/>
    </font>
    <font>
      <sz val="14"/>
      <name val="Times New Roman"/>
      <family val="1"/>
      <charset val="204"/>
    </font>
  </fonts>
  <fills count="6">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
      <patternFill patternType="solid">
        <fgColor theme="2" tint="-9.9978637043366805E-2"/>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cellStyleXfs>
  <cellXfs count="102">
    <xf numFmtId="0" fontId="0" fillId="0" borderId="0" xfId="0"/>
    <xf numFmtId="0" fontId="2" fillId="0" borderId="0" xfId="0" applyFont="1" applyProtection="1">
      <protection locked="0"/>
    </xf>
    <xf numFmtId="0" fontId="2" fillId="0" borderId="0" xfId="0" applyFont="1" applyAlignment="1" applyProtection="1">
      <alignment horizontal="left" vertical="top" wrapText="1"/>
      <protection locked="0"/>
    </xf>
    <xf numFmtId="0" fontId="4" fillId="0" borderId="0" xfId="0" applyFont="1" applyProtection="1">
      <protection locked="0"/>
    </xf>
    <xf numFmtId="0" fontId="5" fillId="0" borderId="0" xfId="0" applyFont="1" applyProtection="1">
      <protection locked="0"/>
    </xf>
    <xf numFmtId="0" fontId="6" fillId="0" borderId="0" xfId="0" applyFont="1" applyProtection="1">
      <protection locked="0"/>
    </xf>
    <xf numFmtId="0" fontId="6" fillId="0" borderId="0" xfId="0" applyFont="1" applyAlignment="1" applyProtection="1">
      <alignment horizontal="left" vertical="top" wrapText="1"/>
      <protection locked="0"/>
    </xf>
    <xf numFmtId="0" fontId="2" fillId="0" borderId="4"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protection locked="0"/>
    </xf>
    <xf numFmtId="0" fontId="7" fillId="0" borderId="2" xfId="0" applyFont="1" applyBorder="1" applyAlignment="1" applyProtection="1">
      <alignment vertical="center"/>
      <protection locked="0"/>
    </xf>
    <xf numFmtId="0" fontId="7" fillId="0" borderId="6" xfId="0" applyFont="1" applyBorder="1" applyAlignment="1" applyProtection="1">
      <alignment vertical="center"/>
      <protection locked="0"/>
    </xf>
    <xf numFmtId="0" fontId="7" fillId="0" borderId="3" xfId="0" applyFont="1" applyBorder="1" applyAlignment="1" applyProtection="1">
      <alignment vertical="center"/>
      <protection locked="0"/>
    </xf>
    <xf numFmtId="0" fontId="2" fillId="0" borderId="2" xfId="0" applyFont="1" applyBorder="1" applyProtection="1">
      <protection locked="0"/>
    </xf>
    <xf numFmtId="0" fontId="2" fillId="0" borderId="4" xfId="0" applyFont="1" applyBorder="1" applyProtection="1">
      <protection locked="0"/>
    </xf>
    <xf numFmtId="0" fontId="2" fillId="0" borderId="4" xfId="0" applyFont="1" applyBorder="1" applyAlignment="1" applyProtection="1">
      <alignment horizontal="left" vertical="center" wrapText="1"/>
      <protection locked="0"/>
    </xf>
    <xf numFmtId="0" fontId="2" fillId="0" borderId="4" xfId="0" applyFont="1" applyBorder="1" applyAlignment="1">
      <alignment horizontal="center" vertical="center"/>
    </xf>
    <xf numFmtId="165" fontId="2" fillId="0" borderId="4" xfId="1" applyNumberFormat="1" applyFont="1" applyFill="1" applyBorder="1" applyAlignment="1" applyProtection="1">
      <alignment horizontal="center" vertical="center"/>
    </xf>
    <xf numFmtId="165" fontId="2" fillId="0" borderId="4" xfId="1" applyNumberFormat="1" applyFont="1" applyFill="1" applyBorder="1" applyAlignment="1" applyProtection="1">
      <alignment horizontal="left" vertical="top" wrapText="1"/>
      <protection locked="0"/>
    </xf>
    <xf numFmtId="165" fontId="2" fillId="0" borderId="2" xfId="1" applyNumberFormat="1" applyFont="1" applyFill="1" applyBorder="1" applyAlignment="1" applyProtection="1">
      <alignment horizontal="left" vertical="top" wrapText="1"/>
      <protection locked="0"/>
    </xf>
    <xf numFmtId="166" fontId="2" fillId="0" borderId="4" xfId="2" applyNumberFormat="1" applyFont="1" applyFill="1" applyBorder="1" applyAlignment="1" applyProtection="1">
      <alignment horizontal="center" vertical="center" wrapText="1"/>
      <protection locked="0"/>
    </xf>
    <xf numFmtId="165" fontId="2" fillId="0" borderId="4" xfId="1" applyNumberFormat="1" applyFont="1" applyFill="1" applyBorder="1" applyAlignment="1" applyProtection="1">
      <alignment horizontal="center" vertical="center"/>
      <protection locked="0"/>
    </xf>
    <xf numFmtId="167" fontId="2" fillId="0" borderId="4" xfId="2" applyNumberFormat="1" applyFont="1" applyFill="1" applyBorder="1" applyAlignment="1" applyProtection="1">
      <alignment horizontal="center" vertical="center"/>
    </xf>
    <xf numFmtId="0" fontId="2" fillId="0" borderId="4" xfId="0" applyFont="1" applyBorder="1" applyAlignment="1" applyProtection="1">
      <alignment horizontal="left" vertical="center" wrapText="1" indent="1"/>
      <protection locked="0"/>
    </xf>
    <xf numFmtId="0" fontId="7" fillId="0" borderId="4" xfId="0" applyFont="1" applyBorder="1" applyAlignment="1" applyProtection="1">
      <alignment horizontal="center" vertical="center"/>
      <protection locked="0"/>
    </xf>
    <xf numFmtId="0" fontId="7" fillId="2" borderId="4" xfId="0" applyFont="1" applyFill="1" applyBorder="1" applyAlignment="1" applyProtection="1">
      <alignment horizontal="center" vertical="center"/>
      <protection locked="0"/>
    </xf>
    <xf numFmtId="0" fontId="2" fillId="0" borderId="4" xfId="0" applyFont="1" applyBorder="1" applyAlignment="1" applyProtection="1">
      <alignment horizontal="left" vertical="top" wrapText="1"/>
      <protection locked="0"/>
    </xf>
    <xf numFmtId="0" fontId="2" fillId="0" borderId="2" xfId="0" applyFont="1" applyBorder="1" applyAlignment="1" applyProtection="1">
      <alignment horizontal="left" vertical="top" wrapText="1"/>
      <protection locked="0"/>
    </xf>
    <xf numFmtId="0" fontId="2" fillId="0" borderId="4" xfId="0" applyFont="1" applyBorder="1" applyAlignment="1" applyProtection="1">
      <alignment horizontal="left" vertical="center"/>
      <protection locked="0"/>
    </xf>
    <xf numFmtId="16" fontId="2" fillId="0" borderId="4" xfId="0" applyNumberFormat="1" applyFont="1" applyBorder="1" applyAlignment="1" applyProtection="1">
      <alignment horizontal="center" vertical="center"/>
      <protection locked="0"/>
    </xf>
    <xf numFmtId="165" fontId="2" fillId="0" borderId="1" xfId="1" applyNumberFormat="1" applyFont="1" applyFill="1" applyBorder="1" applyAlignment="1" applyProtection="1">
      <alignment horizontal="center" vertical="center"/>
    </xf>
    <xf numFmtId="165" fontId="2" fillId="3" borderId="1" xfId="1" applyNumberFormat="1" applyFont="1" applyFill="1" applyBorder="1" applyAlignment="1" applyProtection="1">
      <alignment horizontal="center" vertical="center"/>
    </xf>
    <xf numFmtId="165" fontId="2" fillId="3" borderId="1" xfId="3" applyNumberFormat="1" applyFont="1" applyFill="1" applyBorder="1" applyAlignment="1" applyProtection="1">
      <alignment horizontal="center" vertical="center"/>
    </xf>
    <xf numFmtId="2" fontId="2" fillId="0" borderId="1" xfId="0" applyNumberFormat="1" applyFont="1" applyBorder="1" applyAlignment="1">
      <alignment vertical="center" wrapText="1"/>
    </xf>
    <xf numFmtId="166" fontId="2" fillId="0" borderId="1" xfId="2" applyNumberFormat="1" applyFont="1" applyFill="1" applyBorder="1" applyAlignment="1" applyProtection="1">
      <alignment horizontal="center" vertical="center" wrapText="1"/>
      <protection locked="0"/>
    </xf>
    <xf numFmtId="0" fontId="8" fillId="0" borderId="4" xfId="0" applyFont="1" applyBorder="1" applyAlignment="1" applyProtection="1">
      <alignment horizontal="left" vertical="center"/>
      <protection locked="0"/>
    </xf>
    <xf numFmtId="0" fontId="2" fillId="0" borderId="2" xfId="0" applyFont="1" applyBorder="1" applyAlignment="1">
      <alignment horizontal="center" vertical="center"/>
    </xf>
    <xf numFmtId="165" fontId="2" fillId="0" borderId="2" xfId="1" applyNumberFormat="1" applyFont="1" applyFill="1" applyBorder="1" applyAlignment="1" applyProtection="1">
      <alignment horizontal="center" vertical="center"/>
    </xf>
    <xf numFmtId="165" fontId="2" fillId="0" borderId="6" xfId="1" applyNumberFormat="1" applyFont="1" applyFill="1" applyBorder="1" applyAlignment="1" applyProtection="1">
      <alignment horizontal="center" vertical="center"/>
    </xf>
    <xf numFmtId="165" fontId="2" fillId="0" borderId="6" xfId="1" applyNumberFormat="1" applyFont="1" applyFill="1" applyBorder="1" applyAlignment="1" applyProtection="1">
      <alignment horizontal="left" vertical="top" wrapText="1"/>
      <protection locked="0"/>
    </xf>
    <xf numFmtId="166" fontId="2" fillId="0" borderId="3" xfId="2" applyNumberFormat="1" applyFont="1" applyFill="1" applyBorder="1" applyAlignment="1" applyProtection="1">
      <alignment horizontal="center" vertical="center" wrapText="1"/>
      <protection locked="0"/>
    </xf>
    <xf numFmtId="0" fontId="2" fillId="0" borderId="4" xfId="0" applyFont="1" applyBorder="1" applyAlignment="1" applyProtection="1">
      <alignment horizontal="left" vertical="center" indent="2"/>
      <protection locked="0"/>
    </xf>
    <xf numFmtId="0" fontId="7" fillId="0" borderId="4" xfId="0" applyFont="1" applyBorder="1" applyAlignment="1">
      <alignment horizontal="center" vertical="center"/>
    </xf>
    <xf numFmtId="166" fontId="2" fillId="0" borderId="5" xfId="2" applyNumberFormat="1" applyFont="1" applyFill="1" applyBorder="1" applyAlignment="1" applyProtection="1">
      <alignment horizontal="center" vertical="center"/>
    </xf>
    <xf numFmtId="166" fontId="2" fillId="3" borderId="5" xfId="2" applyNumberFormat="1" applyFont="1" applyFill="1" applyBorder="1" applyAlignment="1" applyProtection="1">
      <alignment horizontal="center" vertical="center"/>
    </xf>
    <xf numFmtId="165" fontId="2" fillId="0" borderId="5" xfId="1" applyNumberFormat="1" applyFont="1" applyFill="1" applyBorder="1" applyAlignment="1" applyProtection="1">
      <alignment horizontal="left" vertical="top" wrapText="1"/>
      <protection locked="0"/>
    </xf>
    <xf numFmtId="165" fontId="2" fillId="0" borderId="7" xfId="1" applyNumberFormat="1" applyFont="1" applyFill="1" applyBorder="1" applyAlignment="1" applyProtection="1">
      <alignment horizontal="left" vertical="top" wrapText="1"/>
      <protection locked="0"/>
    </xf>
    <xf numFmtId="166" fontId="2" fillId="0" borderId="5" xfId="2" applyNumberFormat="1" applyFont="1" applyFill="1" applyBorder="1" applyAlignment="1" applyProtection="1">
      <alignment horizontal="center" vertical="center" wrapText="1"/>
      <protection locked="0"/>
    </xf>
    <xf numFmtId="166" fontId="2" fillId="0" borderId="4" xfId="2" applyNumberFormat="1" applyFont="1" applyFill="1" applyBorder="1" applyAlignment="1" applyProtection="1">
      <alignment horizontal="center" vertical="center"/>
    </xf>
    <xf numFmtId="166" fontId="2" fillId="3" borderId="4" xfId="2" applyNumberFormat="1" applyFont="1" applyFill="1" applyBorder="1" applyAlignment="1" applyProtection="1">
      <alignment horizontal="center" vertical="center"/>
    </xf>
    <xf numFmtId="0" fontId="2" fillId="0" borderId="4" xfId="0" applyFont="1" applyBorder="1" applyAlignment="1" applyProtection="1">
      <alignment horizontal="left" vertical="center" wrapText="1" indent="2"/>
      <protection locked="0"/>
    </xf>
    <xf numFmtId="0" fontId="2" fillId="2" borderId="4" xfId="0" applyFont="1" applyFill="1" applyBorder="1" applyAlignment="1" applyProtection="1">
      <alignment horizontal="left" vertical="center" wrapText="1" indent="2"/>
      <protection locked="0"/>
    </xf>
    <xf numFmtId="0" fontId="7" fillId="2" borderId="4" xfId="0" applyFont="1" applyFill="1" applyBorder="1" applyAlignment="1">
      <alignment horizontal="center" vertical="center"/>
    </xf>
    <xf numFmtId="166" fontId="2" fillId="2" borderId="4" xfId="2" applyNumberFormat="1" applyFont="1" applyFill="1" applyBorder="1" applyAlignment="1" applyProtection="1">
      <alignment horizontal="center" vertical="center"/>
    </xf>
    <xf numFmtId="165" fontId="2" fillId="0" borderId="2" xfId="1" applyNumberFormat="1" applyFont="1" applyFill="1" applyBorder="1" applyAlignment="1" applyProtection="1">
      <alignment horizontal="left" vertical="center" wrapText="1"/>
      <protection locked="0"/>
    </xf>
    <xf numFmtId="165" fontId="2" fillId="3" borderId="4" xfId="1" applyNumberFormat="1" applyFont="1" applyFill="1" applyBorder="1" applyAlignment="1" applyProtection="1">
      <alignment horizontal="center" vertical="center"/>
    </xf>
    <xf numFmtId="165" fontId="2" fillId="3" borderId="4" xfId="3" applyNumberFormat="1" applyFont="1" applyFill="1" applyBorder="1" applyAlignment="1" applyProtection="1">
      <alignment horizontal="center" vertical="center"/>
    </xf>
    <xf numFmtId="165" fontId="2" fillId="0" borderId="2" xfId="1" applyNumberFormat="1" applyFont="1" applyFill="1" applyBorder="1" applyAlignment="1" applyProtection="1">
      <alignment horizontal="center" vertical="center" wrapText="1"/>
      <protection locked="0"/>
    </xf>
    <xf numFmtId="0" fontId="2" fillId="0" borderId="4" xfId="0" applyFont="1" applyBorder="1" applyAlignment="1" applyProtection="1">
      <alignment horizontal="left" vertical="center" wrapText="1" indent="3"/>
      <protection locked="0"/>
    </xf>
    <xf numFmtId="165" fontId="2" fillId="0" borderId="4" xfId="3" applyNumberFormat="1" applyFont="1" applyFill="1" applyBorder="1" applyAlignment="1" applyProtection="1">
      <alignment horizontal="center" vertical="center"/>
    </xf>
    <xf numFmtId="14" fontId="2" fillId="0" borderId="4" xfId="0" applyNumberFormat="1" applyFont="1" applyBorder="1" applyAlignment="1" applyProtection="1">
      <alignment horizontal="center" vertical="center"/>
      <protection locked="0"/>
    </xf>
    <xf numFmtId="0" fontId="2" fillId="0" borderId="4" xfId="0" applyFont="1" applyBorder="1" applyAlignment="1" applyProtection="1">
      <alignment horizontal="right" vertical="center"/>
      <protection locked="0"/>
    </xf>
    <xf numFmtId="168" fontId="2" fillId="0" borderId="4" xfId="1" applyNumberFormat="1" applyFont="1" applyFill="1" applyBorder="1" applyAlignment="1" applyProtection="1">
      <alignment horizontal="center" vertical="center"/>
      <protection locked="0"/>
    </xf>
    <xf numFmtId="165" fontId="2" fillId="0" borderId="4" xfId="1" applyNumberFormat="1" applyFont="1" applyFill="1" applyBorder="1" applyAlignment="1" applyProtection="1">
      <alignment horizontal="left" vertical="center" wrapText="1"/>
    </xf>
    <xf numFmtId="0" fontId="2" fillId="0" borderId="4" xfId="0" applyFont="1" applyBorder="1" applyAlignment="1">
      <alignment horizontal="left" vertical="center"/>
    </xf>
    <xf numFmtId="0" fontId="7" fillId="0" borderId="4" xfId="0" applyFont="1" applyBorder="1" applyAlignment="1">
      <alignment horizontal="left" vertical="center"/>
    </xf>
    <xf numFmtId="169" fontId="7" fillId="0" borderId="4" xfId="1" applyNumberFormat="1" applyFont="1" applyFill="1" applyBorder="1" applyAlignment="1" applyProtection="1">
      <alignment horizontal="center" vertical="center"/>
    </xf>
    <xf numFmtId="0" fontId="9" fillId="0" borderId="0" xfId="0" applyFont="1" applyProtection="1">
      <protection locked="0"/>
    </xf>
    <xf numFmtId="0" fontId="2" fillId="0" borderId="0" xfId="0" applyFont="1" applyAlignment="1" applyProtection="1">
      <alignment horizontal="right" vertical="top" wrapText="1"/>
      <protection locked="0"/>
    </xf>
    <xf numFmtId="0" fontId="5" fillId="0" borderId="0" xfId="0" applyFont="1" applyFill="1" applyProtection="1">
      <protection locked="0"/>
    </xf>
    <xf numFmtId="0" fontId="2" fillId="0" borderId="1" xfId="0" applyFont="1" applyFill="1" applyBorder="1" applyAlignment="1" applyProtection="1">
      <alignment horizontal="center" vertical="center" wrapText="1"/>
      <protection locked="0"/>
    </xf>
    <xf numFmtId="169" fontId="2" fillId="0" borderId="4" xfId="1" applyNumberFormat="1" applyFont="1" applyFill="1" applyBorder="1" applyAlignment="1" applyProtection="1">
      <alignment horizontal="center" vertical="center"/>
    </xf>
    <xf numFmtId="169" fontId="2" fillId="0" borderId="4" xfId="1" applyNumberFormat="1" applyFont="1" applyFill="1" applyBorder="1" applyAlignment="1" applyProtection="1">
      <alignment horizontal="center" vertical="center"/>
      <protection locked="0"/>
    </xf>
    <xf numFmtId="165" fontId="2" fillId="4" borderId="4" xfId="3" applyNumberFormat="1" applyFont="1" applyFill="1" applyBorder="1" applyAlignment="1" applyProtection="1">
      <alignment horizontal="center" vertical="center"/>
    </xf>
    <xf numFmtId="169" fontId="2" fillId="3" borderId="4" xfId="1" applyNumberFormat="1" applyFont="1" applyFill="1" applyBorder="1" applyAlignment="1" applyProtection="1">
      <alignment horizontal="center" vertical="center"/>
    </xf>
    <xf numFmtId="165" fontId="2" fillId="5" borderId="2" xfId="1" applyNumberFormat="1" applyFont="1" applyFill="1" applyBorder="1" applyAlignment="1" applyProtection="1">
      <alignment horizontal="left" vertical="top" wrapText="1"/>
      <protection locked="0"/>
    </xf>
    <xf numFmtId="165" fontId="2" fillId="0" borderId="5" xfId="3" applyNumberFormat="1" applyFont="1" applyFill="1" applyBorder="1" applyAlignment="1" applyProtection="1">
      <alignment vertical="center" wrapText="1"/>
      <protection locked="0"/>
    </xf>
    <xf numFmtId="165" fontId="2" fillId="0" borderId="4" xfId="3" applyNumberFormat="1" applyFont="1" applyFill="1" applyBorder="1" applyAlignment="1" applyProtection="1">
      <alignment vertical="center" wrapText="1"/>
      <protection locked="0"/>
    </xf>
    <xf numFmtId="165" fontId="2" fillId="0" borderId="4" xfId="3" applyNumberFormat="1" applyFont="1" applyFill="1" applyBorder="1" applyAlignment="1" applyProtection="1">
      <alignment horizontal="center" vertical="top" wrapText="1"/>
      <protection locked="0"/>
    </xf>
    <xf numFmtId="165" fontId="2" fillId="0" borderId="1" xfId="3" applyNumberFormat="1" applyFont="1" applyFill="1" applyBorder="1" applyAlignment="1" applyProtection="1">
      <alignment horizontal="center" vertical="center" wrapText="1"/>
      <protection locked="0"/>
    </xf>
    <xf numFmtId="165" fontId="2" fillId="0" borderId="8" xfId="3" applyNumberFormat="1" applyFont="1" applyFill="1" applyBorder="1" applyAlignment="1" applyProtection="1">
      <alignment horizontal="center" vertical="center" wrapText="1"/>
      <protection locked="0"/>
    </xf>
    <xf numFmtId="165" fontId="2" fillId="0" borderId="5" xfId="3" applyNumberFormat="1" applyFont="1" applyFill="1" applyBorder="1" applyAlignment="1" applyProtection="1">
      <alignment horizontal="center" vertical="center" wrapText="1"/>
      <protection locked="0"/>
    </xf>
    <xf numFmtId="165" fontId="2" fillId="0" borderId="1" xfId="1" applyNumberFormat="1" applyFont="1" applyFill="1" applyBorder="1" applyAlignment="1" applyProtection="1">
      <alignment horizontal="center" vertical="top" wrapText="1"/>
      <protection locked="0"/>
    </xf>
    <xf numFmtId="165" fontId="2" fillId="0" borderId="8" xfId="1" applyNumberFormat="1" applyFont="1" applyFill="1" applyBorder="1" applyAlignment="1" applyProtection="1">
      <alignment horizontal="center" vertical="top" wrapText="1"/>
      <protection locked="0"/>
    </xf>
    <xf numFmtId="165" fontId="2" fillId="0" borderId="5" xfId="1" applyNumberFormat="1" applyFont="1" applyFill="1" applyBorder="1" applyAlignment="1" applyProtection="1">
      <alignment horizontal="center" vertical="top" wrapText="1"/>
      <protection locked="0"/>
    </xf>
    <xf numFmtId="165" fontId="2" fillId="5" borderId="1" xfId="1" applyNumberFormat="1" applyFont="1" applyFill="1" applyBorder="1" applyAlignment="1" applyProtection="1">
      <alignment horizontal="center" vertical="top" wrapText="1"/>
      <protection locked="0"/>
    </xf>
    <xf numFmtId="165" fontId="2" fillId="5" borderId="8" xfId="1" applyNumberFormat="1" applyFont="1" applyFill="1" applyBorder="1" applyAlignment="1" applyProtection="1">
      <alignment horizontal="center" vertical="top" wrapText="1"/>
      <protection locked="0"/>
    </xf>
    <xf numFmtId="165" fontId="2" fillId="5" borderId="5" xfId="1" applyNumberFormat="1" applyFont="1" applyFill="1" applyBorder="1" applyAlignment="1" applyProtection="1">
      <alignment horizontal="center" vertical="top" wrapText="1"/>
      <protection locked="0"/>
    </xf>
    <xf numFmtId="0" fontId="2" fillId="0" borderId="1"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165" fontId="2" fillId="0" borderId="1" xfId="3" applyNumberFormat="1" applyFont="1" applyFill="1" applyBorder="1" applyAlignment="1" applyProtection="1">
      <alignment horizontal="left" vertical="center" wrapText="1"/>
      <protection locked="0"/>
    </xf>
    <xf numFmtId="165" fontId="2" fillId="0" borderId="5" xfId="3" applyNumberFormat="1" applyFont="1" applyFill="1" applyBorder="1" applyAlignment="1" applyProtection="1">
      <alignment horizontal="left" vertical="center" wrapText="1"/>
      <protection locked="0"/>
    </xf>
    <xf numFmtId="165" fontId="2" fillId="0" borderId="1" xfId="1" applyNumberFormat="1" applyFont="1" applyFill="1" applyBorder="1" applyAlignment="1" applyProtection="1">
      <alignment horizontal="left" vertical="center" wrapText="1"/>
    </xf>
    <xf numFmtId="165" fontId="2" fillId="0" borderId="8" xfId="1" applyNumberFormat="1" applyFont="1" applyFill="1" applyBorder="1" applyAlignment="1" applyProtection="1">
      <alignment horizontal="left" vertical="center" wrapText="1"/>
    </xf>
    <xf numFmtId="165" fontId="2" fillId="0" borderId="5" xfId="1" applyNumberFormat="1" applyFont="1" applyFill="1" applyBorder="1" applyAlignment="1" applyProtection="1">
      <alignment horizontal="left" vertical="center" wrapText="1"/>
    </xf>
    <xf numFmtId="0" fontId="2" fillId="0" borderId="0" xfId="0" applyFont="1" applyAlignment="1" applyProtection="1">
      <alignment horizontal="center"/>
      <protection locked="0"/>
    </xf>
    <xf numFmtId="0" fontId="2" fillId="0" borderId="1"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2"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3" fillId="0" borderId="0" xfId="0" applyFont="1" applyFill="1" applyBorder="1" applyAlignment="1" applyProtection="1">
      <alignment horizontal="center" vertical="center" wrapText="1"/>
      <protection locked="0"/>
    </xf>
  </cellXfs>
  <cellStyles count="4">
    <cellStyle name="Обычный" xfId="0" builtinId="0"/>
    <cellStyle name="Процентный" xfId="2" builtinId="5"/>
    <cellStyle name="Финансовый" xfId="1" builtinId="3"/>
    <cellStyle name="Финансовый 11" xfId="3"/>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61;&#1042;&#1057;%20&#1082;&#1086;&#1088;&#1088;&#1077;&#1082;&#1090;&#1080;&#1088;&#1086;&#1074;&#1082;&#1072;%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ХВС корр-ка 2023 года"/>
      <sheetName val="Лист1"/>
    </sheetNames>
    <sheetDataSet>
      <sheetData sheetId="0">
        <row r="153">
          <cell r="I153">
            <v>70.650862894584932</v>
          </cell>
        </row>
      </sheetData>
      <sheetData sheetId="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0"/>
  <sheetViews>
    <sheetView tabSelected="1" zoomScale="85" zoomScaleNormal="85" workbookViewId="0">
      <selection activeCell="H12" sqref="H12"/>
    </sheetView>
  </sheetViews>
  <sheetFormatPr defaultColWidth="0.85546875" defaultRowHeight="15" x14ac:dyDescent="0.25"/>
  <cols>
    <col min="1" max="1" width="12" style="1" customWidth="1"/>
    <col min="2" max="2" width="51.42578125" style="1" customWidth="1"/>
    <col min="3" max="3" width="12.85546875" style="1" customWidth="1"/>
    <col min="4" max="5" width="14.140625" style="1" customWidth="1"/>
    <col min="6" max="6" width="16" style="1" customWidth="1"/>
    <col min="7" max="7" width="15.28515625" style="1" customWidth="1"/>
    <col min="8" max="8" width="32" style="1" customWidth="1"/>
    <col min="9" max="9" width="19.42578125" style="1" customWidth="1"/>
    <col min="10" max="10" width="85.42578125" style="2" customWidth="1"/>
    <col min="11" max="11" width="20.5703125" style="1" customWidth="1"/>
    <col min="12" max="12" width="5.7109375" style="1" customWidth="1"/>
    <col min="13" max="256" width="0.85546875" style="1"/>
    <col min="257" max="257" width="12" style="1" customWidth="1"/>
    <col min="258" max="258" width="51.42578125" style="1" customWidth="1"/>
    <col min="259" max="259" width="12.85546875" style="1" customWidth="1"/>
    <col min="260" max="261" width="14.140625" style="1" customWidth="1"/>
    <col min="262" max="262" width="16" style="1" customWidth="1"/>
    <col min="263" max="263" width="15.28515625" style="1" customWidth="1"/>
    <col min="264" max="264" width="32" style="1" customWidth="1"/>
    <col min="265" max="265" width="19.42578125" style="1" customWidth="1"/>
    <col min="266" max="266" width="51.140625" style="1" customWidth="1"/>
    <col min="267" max="267" width="20.5703125" style="1" customWidth="1"/>
    <col min="268" max="512" width="0.85546875" style="1"/>
    <col min="513" max="513" width="12" style="1" customWidth="1"/>
    <col min="514" max="514" width="51.42578125" style="1" customWidth="1"/>
    <col min="515" max="515" width="12.85546875" style="1" customWidth="1"/>
    <col min="516" max="517" width="14.140625" style="1" customWidth="1"/>
    <col min="518" max="518" width="16" style="1" customWidth="1"/>
    <col min="519" max="519" width="15.28515625" style="1" customWidth="1"/>
    <col min="520" max="520" width="32" style="1" customWidth="1"/>
    <col min="521" max="521" width="19.42578125" style="1" customWidth="1"/>
    <col min="522" max="522" width="51.140625" style="1" customWidth="1"/>
    <col min="523" max="523" width="20.5703125" style="1" customWidth="1"/>
    <col min="524" max="768" width="0.85546875" style="1"/>
    <col min="769" max="769" width="12" style="1" customWidth="1"/>
    <col min="770" max="770" width="51.42578125" style="1" customWidth="1"/>
    <col min="771" max="771" width="12.85546875" style="1" customWidth="1"/>
    <col min="772" max="773" width="14.140625" style="1" customWidth="1"/>
    <col min="774" max="774" width="16" style="1" customWidth="1"/>
    <col min="775" max="775" width="15.28515625" style="1" customWidth="1"/>
    <col min="776" max="776" width="32" style="1" customWidth="1"/>
    <col min="777" max="777" width="19.42578125" style="1" customWidth="1"/>
    <col min="778" max="778" width="51.140625" style="1" customWidth="1"/>
    <col min="779" max="779" width="20.5703125" style="1" customWidth="1"/>
    <col min="780" max="1024" width="0.85546875" style="1"/>
    <col min="1025" max="1025" width="12" style="1" customWidth="1"/>
    <col min="1026" max="1026" width="51.42578125" style="1" customWidth="1"/>
    <col min="1027" max="1027" width="12.85546875" style="1" customWidth="1"/>
    <col min="1028" max="1029" width="14.140625" style="1" customWidth="1"/>
    <col min="1030" max="1030" width="16" style="1" customWidth="1"/>
    <col min="1031" max="1031" width="15.28515625" style="1" customWidth="1"/>
    <col min="1032" max="1032" width="32" style="1" customWidth="1"/>
    <col min="1033" max="1033" width="19.42578125" style="1" customWidth="1"/>
    <col min="1034" max="1034" width="51.140625" style="1" customWidth="1"/>
    <col min="1035" max="1035" width="20.5703125" style="1" customWidth="1"/>
    <col min="1036" max="1280" width="0.85546875" style="1"/>
    <col min="1281" max="1281" width="12" style="1" customWidth="1"/>
    <col min="1282" max="1282" width="51.42578125" style="1" customWidth="1"/>
    <col min="1283" max="1283" width="12.85546875" style="1" customWidth="1"/>
    <col min="1284" max="1285" width="14.140625" style="1" customWidth="1"/>
    <col min="1286" max="1286" width="16" style="1" customWidth="1"/>
    <col min="1287" max="1287" width="15.28515625" style="1" customWidth="1"/>
    <col min="1288" max="1288" width="32" style="1" customWidth="1"/>
    <col min="1289" max="1289" width="19.42578125" style="1" customWidth="1"/>
    <col min="1290" max="1290" width="51.140625" style="1" customWidth="1"/>
    <col min="1291" max="1291" width="20.5703125" style="1" customWidth="1"/>
    <col min="1292" max="1536" width="0.85546875" style="1"/>
    <col min="1537" max="1537" width="12" style="1" customWidth="1"/>
    <col min="1538" max="1538" width="51.42578125" style="1" customWidth="1"/>
    <col min="1539" max="1539" width="12.85546875" style="1" customWidth="1"/>
    <col min="1540" max="1541" width="14.140625" style="1" customWidth="1"/>
    <col min="1542" max="1542" width="16" style="1" customWidth="1"/>
    <col min="1543" max="1543" width="15.28515625" style="1" customWidth="1"/>
    <col min="1544" max="1544" width="32" style="1" customWidth="1"/>
    <col min="1545" max="1545" width="19.42578125" style="1" customWidth="1"/>
    <col min="1546" max="1546" width="51.140625" style="1" customWidth="1"/>
    <col min="1547" max="1547" width="20.5703125" style="1" customWidth="1"/>
    <col min="1548" max="1792" width="0.85546875" style="1"/>
    <col min="1793" max="1793" width="12" style="1" customWidth="1"/>
    <col min="1794" max="1794" width="51.42578125" style="1" customWidth="1"/>
    <col min="1795" max="1795" width="12.85546875" style="1" customWidth="1"/>
    <col min="1796" max="1797" width="14.140625" style="1" customWidth="1"/>
    <col min="1798" max="1798" width="16" style="1" customWidth="1"/>
    <col min="1799" max="1799" width="15.28515625" style="1" customWidth="1"/>
    <col min="1800" max="1800" width="32" style="1" customWidth="1"/>
    <col min="1801" max="1801" width="19.42578125" style="1" customWidth="1"/>
    <col min="1802" max="1802" width="51.140625" style="1" customWidth="1"/>
    <col min="1803" max="1803" width="20.5703125" style="1" customWidth="1"/>
    <col min="1804" max="2048" width="0.85546875" style="1"/>
    <col min="2049" max="2049" width="12" style="1" customWidth="1"/>
    <col min="2050" max="2050" width="51.42578125" style="1" customWidth="1"/>
    <col min="2051" max="2051" width="12.85546875" style="1" customWidth="1"/>
    <col min="2052" max="2053" width="14.140625" style="1" customWidth="1"/>
    <col min="2054" max="2054" width="16" style="1" customWidth="1"/>
    <col min="2055" max="2055" width="15.28515625" style="1" customWidth="1"/>
    <col min="2056" max="2056" width="32" style="1" customWidth="1"/>
    <col min="2057" max="2057" width="19.42578125" style="1" customWidth="1"/>
    <col min="2058" max="2058" width="51.140625" style="1" customWidth="1"/>
    <col min="2059" max="2059" width="20.5703125" style="1" customWidth="1"/>
    <col min="2060" max="2304" width="0.85546875" style="1"/>
    <col min="2305" max="2305" width="12" style="1" customWidth="1"/>
    <col min="2306" max="2306" width="51.42578125" style="1" customWidth="1"/>
    <col min="2307" max="2307" width="12.85546875" style="1" customWidth="1"/>
    <col min="2308" max="2309" width="14.140625" style="1" customWidth="1"/>
    <col min="2310" max="2310" width="16" style="1" customWidth="1"/>
    <col min="2311" max="2311" width="15.28515625" style="1" customWidth="1"/>
    <col min="2312" max="2312" width="32" style="1" customWidth="1"/>
    <col min="2313" max="2313" width="19.42578125" style="1" customWidth="1"/>
    <col min="2314" max="2314" width="51.140625" style="1" customWidth="1"/>
    <col min="2315" max="2315" width="20.5703125" style="1" customWidth="1"/>
    <col min="2316" max="2560" width="0.85546875" style="1"/>
    <col min="2561" max="2561" width="12" style="1" customWidth="1"/>
    <col min="2562" max="2562" width="51.42578125" style="1" customWidth="1"/>
    <col min="2563" max="2563" width="12.85546875" style="1" customWidth="1"/>
    <col min="2564" max="2565" width="14.140625" style="1" customWidth="1"/>
    <col min="2566" max="2566" width="16" style="1" customWidth="1"/>
    <col min="2567" max="2567" width="15.28515625" style="1" customWidth="1"/>
    <col min="2568" max="2568" width="32" style="1" customWidth="1"/>
    <col min="2569" max="2569" width="19.42578125" style="1" customWidth="1"/>
    <col min="2570" max="2570" width="51.140625" style="1" customWidth="1"/>
    <col min="2571" max="2571" width="20.5703125" style="1" customWidth="1"/>
    <col min="2572" max="2816" width="0.85546875" style="1"/>
    <col min="2817" max="2817" width="12" style="1" customWidth="1"/>
    <col min="2818" max="2818" width="51.42578125" style="1" customWidth="1"/>
    <col min="2819" max="2819" width="12.85546875" style="1" customWidth="1"/>
    <col min="2820" max="2821" width="14.140625" style="1" customWidth="1"/>
    <col min="2822" max="2822" width="16" style="1" customWidth="1"/>
    <col min="2823" max="2823" width="15.28515625" style="1" customWidth="1"/>
    <col min="2824" max="2824" width="32" style="1" customWidth="1"/>
    <col min="2825" max="2825" width="19.42578125" style="1" customWidth="1"/>
    <col min="2826" max="2826" width="51.140625" style="1" customWidth="1"/>
    <col min="2827" max="2827" width="20.5703125" style="1" customWidth="1"/>
    <col min="2828" max="3072" width="0.85546875" style="1"/>
    <col min="3073" max="3073" width="12" style="1" customWidth="1"/>
    <col min="3074" max="3074" width="51.42578125" style="1" customWidth="1"/>
    <col min="3075" max="3075" width="12.85546875" style="1" customWidth="1"/>
    <col min="3076" max="3077" width="14.140625" style="1" customWidth="1"/>
    <col min="3078" max="3078" width="16" style="1" customWidth="1"/>
    <col min="3079" max="3079" width="15.28515625" style="1" customWidth="1"/>
    <col min="3080" max="3080" width="32" style="1" customWidth="1"/>
    <col min="3081" max="3081" width="19.42578125" style="1" customWidth="1"/>
    <col min="3082" max="3082" width="51.140625" style="1" customWidth="1"/>
    <col min="3083" max="3083" width="20.5703125" style="1" customWidth="1"/>
    <col min="3084" max="3328" width="0.85546875" style="1"/>
    <col min="3329" max="3329" width="12" style="1" customWidth="1"/>
    <col min="3330" max="3330" width="51.42578125" style="1" customWidth="1"/>
    <col min="3331" max="3331" width="12.85546875" style="1" customWidth="1"/>
    <col min="3332" max="3333" width="14.140625" style="1" customWidth="1"/>
    <col min="3334" max="3334" width="16" style="1" customWidth="1"/>
    <col min="3335" max="3335" width="15.28515625" style="1" customWidth="1"/>
    <col min="3336" max="3336" width="32" style="1" customWidth="1"/>
    <col min="3337" max="3337" width="19.42578125" style="1" customWidth="1"/>
    <col min="3338" max="3338" width="51.140625" style="1" customWidth="1"/>
    <col min="3339" max="3339" width="20.5703125" style="1" customWidth="1"/>
    <col min="3340" max="3584" width="0.85546875" style="1"/>
    <col min="3585" max="3585" width="12" style="1" customWidth="1"/>
    <col min="3586" max="3586" width="51.42578125" style="1" customWidth="1"/>
    <col min="3587" max="3587" width="12.85546875" style="1" customWidth="1"/>
    <col min="3588" max="3589" width="14.140625" style="1" customWidth="1"/>
    <col min="3590" max="3590" width="16" style="1" customWidth="1"/>
    <col min="3591" max="3591" width="15.28515625" style="1" customWidth="1"/>
    <col min="3592" max="3592" width="32" style="1" customWidth="1"/>
    <col min="3593" max="3593" width="19.42578125" style="1" customWidth="1"/>
    <col min="3594" max="3594" width="51.140625" style="1" customWidth="1"/>
    <col min="3595" max="3595" width="20.5703125" style="1" customWidth="1"/>
    <col min="3596" max="3840" width="0.85546875" style="1"/>
    <col min="3841" max="3841" width="12" style="1" customWidth="1"/>
    <col min="3842" max="3842" width="51.42578125" style="1" customWidth="1"/>
    <col min="3843" max="3843" width="12.85546875" style="1" customWidth="1"/>
    <col min="3844" max="3845" width="14.140625" style="1" customWidth="1"/>
    <col min="3846" max="3846" width="16" style="1" customWidth="1"/>
    <col min="3847" max="3847" width="15.28515625" style="1" customWidth="1"/>
    <col min="3848" max="3848" width="32" style="1" customWidth="1"/>
    <col min="3849" max="3849" width="19.42578125" style="1" customWidth="1"/>
    <col min="3850" max="3850" width="51.140625" style="1" customWidth="1"/>
    <col min="3851" max="3851" width="20.5703125" style="1" customWidth="1"/>
    <col min="3852" max="4096" width="0.85546875" style="1"/>
    <col min="4097" max="4097" width="12" style="1" customWidth="1"/>
    <col min="4098" max="4098" width="51.42578125" style="1" customWidth="1"/>
    <col min="4099" max="4099" width="12.85546875" style="1" customWidth="1"/>
    <col min="4100" max="4101" width="14.140625" style="1" customWidth="1"/>
    <col min="4102" max="4102" width="16" style="1" customWidth="1"/>
    <col min="4103" max="4103" width="15.28515625" style="1" customWidth="1"/>
    <col min="4104" max="4104" width="32" style="1" customWidth="1"/>
    <col min="4105" max="4105" width="19.42578125" style="1" customWidth="1"/>
    <col min="4106" max="4106" width="51.140625" style="1" customWidth="1"/>
    <col min="4107" max="4107" width="20.5703125" style="1" customWidth="1"/>
    <col min="4108" max="4352" width="0.85546875" style="1"/>
    <col min="4353" max="4353" width="12" style="1" customWidth="1"/>
    <col min="4354" max="4354" width="51.42578125" style="1" customWidth="1"/>
    <col min="4355" max="4355" width="12.85546875" style="1" customWidth="1"/>
    <col min="4356" max="4357" width="14.140625" style="1" customWidth="1"/>
    <col min="4358" max="4358" width="16" style="1" customWidth="1"/>
    <col min="4359" max="4359" width="15.28515625" style="1" customWidth="1"/>
    <col min="4360" max="4360" width="32" style="1" customWidth="1"/>
    <col min="4361" max="4361" width="19.42578125" style="1" customWidth="1"/>
    <col min="4362" max="4362" width="51.140625" style="1" customWidth="1"/>
    <col min="4363" max="4363" width="20.5703125" style="1" customWidth="1"/>
    <col min="4364" max="4608" width="0.85546875" style="1"/>
    <col min="4609" max="4609" width="12" style="1" customWidth="1"/>
    <col min="4610" max="4610" width="51.42578125" style="1" customWidth="1"/>
    <col min="4611" max="4611" width="12.85546875" style="1" customWidth="1"/>
    <col min="4612" max="4613" width="14.140625" style="1" customWidth="1"/>
    <col min="4614" max="4614" width="16" style="1" customWidth="1"/>
    <col min="4615" max="4615" width="15.28515625" style="1" customWidth="1"/>
    <col min="4616" max="4616" width="32" style="1" customWidth="1"/>
    <col min="4617" max="4617" width="19.42578125" style="1" customWidth="1"/>
    <col min="4618" max="4618" width="51.140625" style="1" customWidth="1"/>
    <col min="4619" max="4619" width="20.5703125" style="1" customWidth="1"/>
    <col min="4620" max="4864" width="0.85546875" style="1"/>
    <col min="4865" max="4865" width="12" style="1" customWidth="1"/>
    <col min="4866" max="4866" width="51.42578125" style="1" customWidth="1"/>
    <col min="4867" max="4867" width="12.85546875" style="1" customWidth="1"/>
    <col min="4868" max="4869" width="14.140625" style="1" customWidth="1"/>
    <col min="4870" max="4870" width="16" style="1" customWidth="1"/>
    <col min="4871" max="4871" width="15.28515625" style="1" customWidth="1"/>
    <col min="4872" max="4872" width="32" style="1" customWidth="1"/>
    <col min="4873" max="4873" width="19.42578125" style="1" customWidth="1"/>
    <col min="4874" max="4874" width="51.140625" style="1" customWidth="1"/>
    <col min="4875" max="4875" width="20.5703125" style="1" customWidth="1"/>
    <col min="4876" max="5120" width="0.85546875" style="1"/>
    <col min="5121" max="5121" width="12" style="1" customWidth="1"/>
    <col min="5122" max="5122" width="51.42578125" style="1" customWidth="1"/>
    <col min="5123" max="5123" width="12.85546875" style="1" customWidth="1"/>
    <col min="5124" max="5125" width="14.140625" style="1" customWidth="1"/>
    <col min="5126" max="5126" width="16" style="1" customWidth="1"/>
    <col min="5127" max="5127" width="15.28515625" style="1" customWidth="1"/>
    <col min="5128" max="5128" width="32" style="1" customWidth="1"/>
    <col min="5129" max="5129" width="19.42578125" style="1" customWidth="1"/>
    <col min="5130" max="5130" width="51.140625" style="1" customWidth="1"/>
    <col min="5131" max="5131" width="20.5703125" style="1" customWidth="1"/>
    <col min="5132" max="5376" width="0.85546875" style="1"/>
    <col min="5377" max="5377" width="12" style="1" customWidth="1"/>
    <col min="5378" max="5378" width="51.42578125" style="1" customWidth="1"/>
    <col min="5379" max="5379" width="12.85546875" style="1" customWidth="1"/>
    <col min="5380" max="5381" width="14.140625" style="1" customWidth="1"/>
    <col min="5382" max="5382" width="16" style="1" customWidth="1"/>
    <col min="5383" max="5383" width="15.28515625" style="1" customWidth="1"/>
    <col min="5384" max="5384" width="32" style="1" customWidth="1"/>
    <col min="5385" max="5385" width="19.42578125" style="1" customWidth="1"/>
    <col min="5386" max="5386" width="51.140625" style="1" customWidth="1"/>
    <col min="5387" max="5387" width="20.5703125" style="1" customWidth="1"/>
    <col min="5388" max="5632" width="0.85546875" style="1"/>
    <col min="5633" max="5633" width="12" style="1" customWidth="1"/>
    <col min="5634" max="5634" width="51.42578125" style="1" customWidth="1"/>
    <col min="5635" max="5635" width="12.85546875" style="1" customWidth="1"/>
    <col min="5636" max="5637" width="14.140625" style="1" customWidth="1"/>
    <col min="5638" max="5638" width="16" style="1" customWidth="1"/>
    <col min="5639" max="5639" width="15.28515625" style="1" customWidth="1"/>
    <col min="5640" max="5640" width="32" style="1" customWidth="1"/>
    <col min="5641" max="5641" width="19.42578125" style="1" customWidth="1"/>
    <col min="5642" max="5642" width="51.140625" style="1" customWidth="1"/>
    <col min="5643" max="5643" width="20.5703125" style="1" customWidth="1"/>
    <col min="5644" max="5888" width="0.85546875" style="1"/>
    <col min="5889" max="5889" width="12" style="1" customWidth="1"/>
    <col min="5890" max="5890" width="51.42578125" style="1" customWidth="1"/>
    <col min="5891" max="5891" width="12.85546875" style="1" customWidth="1"/>
    <col min="5892" max="5893" width="14.140625" style="1" customWidth="1"/>
    <col min="5894" max="5894" width="16" style="1" customWidth="1"/>
    <col min="5895" max="5895" width="15.28515625" style="1" customWidth="1"/>
    <col min="5896" max="5896" width="32" style="1" customWidth="1"/>
    <col min="5897" max="5897" width="19.42578125" style="1" customWidth="1"/>
    <col min="5898" max="5898" width="51.140625" style="1" customWidth="1"/>
    <col min="5899" max="5899" width="20.5703125" style="1" customWidth="1"/>
    <col min="5900" max="6144" width="0.85546875" style="1"/>
    <col min="6145" max="6145" width="12" style="1" customWidth="1"/>
    <col min="6146" max="6146" width="51.42578125" style="1" customWidth="1"/>
    <col min="6147" max="6147" width="12.85546875" style="1" customWidth="1"/>
    <col min="6148" max="6149" width="14.140625" style="1" customWidth="1"/>
    <col min="6150" max="6150" width="16" style="1" customWidth="1"/>
    <col min="6151" max="6151" width="15.28515625" style="1" customWidth="1"/>
    <col min="6152" max="6152" width="32" style="1" customWidth="1"/>
    <col min="6153" max="6153" width="19.42578125" style="1" customWidth="1"/>
    <col min="6154" max="6154" width="51.140625" style="1" customWidth="1"/>
    <col min="6155" max="6155" width="20.5703125" style="1" customWidth="1"/>
    <col min="6156" max="6400" width="0.85546875" style="1"/>
    <col min="6401" max="6401" width="12" style="1" customWidth="1"/>
    <col min="6402" max="6402" width="51.42578125" style="1" customWidth="1"/>
    <col min="6403" max="6403" width="12.85546875" style="1" customWidth="1"/>
    <col min="6404" max="6405" width="14.140625" style="1" customWidth="1"/>
    <col min="6406" max="6406" width="16" style="1" customWidth="1"/>
    <col min="6407" max="6407" width="15.28515625" style="1" customWidth="1"/>
    <col min="6408" max="6408" width="32" style="1" customWidth="1"/>
    <col min="6409" max="6409" width="19.42578125" style="1" customWidth="1"/>
    <col min="6410" max="6410" width="51.140625" style="1" customWidth="1"/>
    <col min="6411" max="6411" width="20.5703125" style="1" customWidth="1"/>
    <col min="6412" max="6656" width="0.85546875" style="1"/>
    <col min="6657" max="6657" width="12" style="1" customWidth="1"/>
    <col min="6658" max="6658" width="51.42578125" style="1" customWidth="1"/>
    <col min="6659" max="6659" width="12.85546875" style="1" customWidth="1"/>
    <col min="6660" max="6661" width="14.140625" style="1" customWidth="1"/>
    <col min="6662" max="6662" width="16" style="1" customWidth="1"/>
    <col min="6663" max="6663" width="15.28515625" style="1" customWidth="1"/>
    <col min="6664" max="6664" width="32" style="1" customWidth="1"/>
    <col min="6665" max="6665" width="19.42578125" style="1" customWidth="1"/>
    <col min="6666" max="6666" width="51.140625" style="1" customWidth="1"/>
    <col min="6667" max="6667" width="20.5703125" style="1" customWidth="1"/>
    <col min="6668" max="6912" width="0.85546875" style="1"/>
    <col min="6913" max="6913" width="12" style="1" customWidth="1"/>
    <col min="6914" max="6914" width="51.42578125" style="1" customWidth="1"/>
    <col min="6915" max="6915" width="12.85546875" style="1" customWidth="1"/>
    <col min="6916" max="6917" width="14.140625" style="1" customWidth="1"/>
    <col min="6918" max="6918" width="16" style="1" customWidth="1"/>
    <col min="6919" max="6919" width="15.28515625" style="1" customWidth="1"/>
    <col min="6920" max="6920" width="32" style="1" customWidth="1"/>
    <col min="6921" max="6921" width="19.42578125" style="1" customWidth="1"/>
    <col min="6922" max="6922" width="51.140625" style="1" customWidth="1"/>
    <col min="6923" max="6923" width="20.5703125" style="1" customWidth="1"/>
    <col min="6924" max="7168" width="0.85546875" style="1"/>
    <col min="7169" max="7169" width="12" style="1" customWidth="1"/>
    <col min="7170" max="7170" width="51.42578125" style="1" customWidth="1"/>
    <col min="7171" max="7171" width="12.85546875" style="1" customWidth="1"/>
    <col min="7172" max="7173" width="14.140625" style="1" customWidth="1"/>
    <col min="7174" max="7174" width="16" style="1" customWidth="1"/>
    <col min="7175" max="7175" width="15.28515625" style="1" customWidth="1"/>
    <col min="7176" max="7176" width="32" style="1" customWidth="1"/>
    <col min="7177" max="7177" width="19.42578125" style="1" customWidth="1"/>
    <col min="7178" max="7178" width="51.140625" style="1" customWidth="1"/>
    <col min="7179" max="7179" width="20.5703125" style="1" customWidth="1"/>
    <col min="7180" max="7424" width="0.85546875" style="1"/>
    <col min="7425" max="7425" width="12" style="1" customWidth="1"/>
    <col min="7426" max="7426" width="51.42578125" style="1" customWidth="1"/>
    <col min="7427" max="7427" width="12.85546875" style="1" customWidth="1"/>
    <col min="7428" max="7429" width="14.140625" style="1" customWidth="1"/>
    <col min="7430" max="7430" width="16" style="1" customWidth="1"/>
    <col min="7431" max="7431" width="15.28515625" style="1" customWidth="1"/>
    <col min="7432" max="7432" width="32" style="1" customWidth="1"/>
    <col min="7433" max="7433" width="19.42578125" style="1" customWidth="1"/>
    <col min="7434" max="7434" width="51.140625" style="1" customWidth="1"/>
    <col min="7435" max="7435" width="20.5703125" style="1" customWidth="1"/>
    <col min="7436" max="7680" width="0.85546875" style="1"/>
    <col min="7681" max="7681" width="12" style="1" customWidth="1"/>
    <col min="7682" max="7682" width="51.42578125" style="1" customWidth="1"/>
    <col min="7683" max="7683" width="12.85546875" style="1" customWidth="1"/>
    <col min="7684" max="7685" width="14.140625" style="1" customWidth="1"/>
    <col min="7686" max="7686" width="16" style="1" customWidth="1"/>
    <col min="7687" max="7687" width="15.28515625" style="1" customWidth="1"/>
    <col min="7688" max="7688" width="32" style="1" customWidth="1"/>
    <col min="7689" max="7689" width="19.42578125" style="1" customWidth="1"/>
    <col min="7690" max="7690" width="51.140625" style="1" customWidth="1"/>
    <col min="7691" max="7691" width="20.5703125" style="1" customWidth="1"/>
    <col min="7692" max="7936" width="0.85546875" style="1"/>
    <col min="7937" max="7937" width="12" style="1" customWidth="1"/>
    <col min="7938" max="7938" width="51.42578125" style="1" customWidth="1"/>
    <col min="7939" max="7939" width="12.85546875" style="1" customWidth="1"/>
    <col min="7940" max="7941" width="14.140625" style="1" customWidth="1"/>
    <col min="7942" max="7942" width="16" style="1" customWidth="1"/>
    <col min="7943" max="7943" width="15.28515625" style="1" customWidth="1"/>
    <col min="7944" max="7944" width="32" style="1" customWidth="1"/>
    <col min="7945" max="7945" width="19.42578125" style="1" customWidth="1"/>
    <col min="7946" max="7946" width="51.140625" style="1" customWidth="1"/>
    <col min="7947" max="7947" width="20.5703125" style="1" customWidth="1"/>
    <col min="7948" max="8192" width="0.85546875" style="1"/>
    <col min="8193" max="8193" width="12" style="1" customWidth="1"/>
    <col min="8194" max="8194" width="51.42578125" style="1" customWidth="1"/>
    <col min="8195" max="8195" width="12.85546875" style="1" customWidth="1"/>
    <col min="8196" max="8197" width="14.140625" style="1" customWidth="1"/>
    <col min="8198" max="8198" width="16" style="1" customWidth="1"/>
    <col min="8199" max="8199" width="15.28515625" style="1" customWidth="1"/>
    <col min="8200" max="8200" width="32" style="1" customWidth="1"/>
    <col min="8201" max="8201" width="19.42578125" style="1" customWidth="1"/>
    <col min="8202" max="8202" width="51.140625" style="1" customWidth="1"/>
    <col min="8203" max="8203" width="20.5703125" style="1" customWidth="1"/>
    <col min="8204" max="8448" width="0.85546875" style="1"/>
    <col min="8449" max="8449" width="12" style="1" customWidth="1"/>
    <col min="8450" max="8450" width="51.42578125" style="1" customWidth="1"/>
    <col min="8451" max="8451" width="12.85546875" style="1" customWidth="1"/>
    <col min="8452" max="8453" width="14.140625" style="1" customWidth="1"/>
    <col min="8454" max="8454" width="16" style="1" customWidth="1"/>
    <col min="8455" max="8455" width="15.28515625" style="1" customWidth="1"/>
    <col min="8456" max="8456" width="32" style="1" customWidth="1"/>
    <col min="8457" max="8457" width="19.42578125" style="1" customWidth="1"/>
    <col min="8458" max="8458" width="51.140625" style="1" customWidth="1"/>
    <col min="8459" max="8459" width="20.5703125" style="1" customWidth="1"/>
    <col min="8460" max="8704" width="0.85546875" style="1"/>
    <col min="8705" max="8705" width="12" style="1" customWidth="1"/>
    <col min="8706" max="8706" width="51.42578125" style="1" customWidth="1"/>
    <col min="8707" max="8707" width="12.85546875" style="1" customWidth="1"/>
    <col min="8708" max="8709" width="14.140625" style="1" customWidth="1"/>
    <col min="8710" max="8710" width="16" style="1" customWidth="1"/>
    <col min="8711" max="8711" width="15.28515625" style="1" customWidth="1"/>
    <col min="8712" max="8712" width="32" style="1" customWidth="1"/>
    <col min="8713" max="8713" width="19.42578125" style="1" customWidth="1"/>
    <col min="8714" max="8714" width="51.140625" style="1" customWidth="1"/>
    <col min="8715" max="8715" width="20.5703125" style="1" customWidth="1"/>
    <col min="8716" max="8960" width="0.85546875" style="1"/>
    <col min="8961" max="8961" width="12" style="1" customWidth="1"/>
    <col min="8962" max="8962" width="51.42578125" style="1" customWidth="1"/>
    <col min="8963" max="8963" width="12.85546875" style="1" customWidth="1"/>
    <col min="8964" max="8965" width="14.140625" style="1" customWidth="1"/>
    <col min="8966" max="8966" width="16" style="1" customWidth="1"/>
    <col min="8967" max="8967" width="15.28515625" style="1" customWidth="1"/>
    <col min="8968" max="8968" width="32" style="1" customWidth="1"/>
    <col min="8969" max="8969" width="19.42578125" style="1" customWidth="1"/>
    <col min="8970" max="8970" width="51.140625" style="1" customWidth="1"/>
    <col min="8971" max="8971" width="20.5703125" style="1" customWidth="1"/>
    <col min="8972" max="9216" width="0.85546875" style="1"/>
    <col min="9217" max="9217" width="12" style="1" customWidth="1"/>
    <col min="9218" max="9218" width="51.42578125" style="1" customWidth="1"/>
    <col min="9219" max="9219" width="12.85546875" style="1" customWidth="1"/>
    <col min="9220" max="9221" width="14.140625" style="1" customWidth="1"/>
    <col min="9222" max="9222" width="16" style="1" customWidth="1"/>
    <col min="9223" max="9223" width="15.28515625" style="1" customWidth="1"/>
    <col min="9224" max="9224" width="32" style="1" customWidth="1"/>
    <col min="9225" max="9225" width="19.42578125" style="1" customWidth="1"/>
    <col min="9226" max="9226" width="51.140625" style="1" customWidth="1"/>
    <col min="9227" max="9227" width="20.5703125" style="1" customWidth="1"/>
    <col min="9228" max="9472" width="0.85546875" style="1"/>
    <col min="9473" max="9473" width="12" style="1" customWidth="1"/>
    <col min="9474" max="9474" width="51.42578125" style="1" customWidth="1"/>
    <col min="9475" max="9475" width="12.85546875" style="1" customWidth="1"/>
    <col min="9476" max="9477" width="14.140625" style="1" customWidth="1"/>
    <col min="9478" max="9478" width="16" style="1" customWidth="1"/>
    <col min="9479" max="9479" width="15.28515625" style="1" customWidth="1"/>
    <col min="9480" max="9480" width="32" style="1" customWidth="1"/>
    <col min="9481" max="9481" width="19.42578125" style="1" customWidth="1"/>
    <col min="9482" max="9482" width="51.140625" style="1" customWidth="1"/>
    <col min="9483" max="9483" width="20.5703125" style="1" customWidth="1"/>
    <col min="9484" max="9728" width="0.85546875" style="1"/>
    <col min="9729" max="9729" width="12" style="1" customWidth="1"/>
    <col min="9730" max="9730" width="51.42578125" style="1" customWidth="1"/>
    <col min="9731" max="9731" width="12.85546875" style="1" customWidth="1"/>
    <col min="9732" max="9733" width="14.140625" style="1" customWidth="1"/>
    <col min="9734" max="9734" width="16" style="1" customWidth="1"/>
    <col min="9735" max="9735" width="15.28515625" style="1" customWidth="1"/>
    <col min="9736" max="9736" width="32" style="1" customWidth="1"/>
    <col min="9737" max="9737" width="19.42578125" style="1" customWidth="1"/>
    <col min="9738" max="9738" width="51.140625" style="1" customWidth="1"/>
    <col min="9739" max="9739" width="20.5703125" style="1" customWidth="1"/>
    <col min="9740" max="9984" width="0.85546875" style="1"/>
    <col min="9985" max="9985" width="12" style="1" customWidth="1"/>
    <col min="9986" max="9986" width="51.42578125" style="1" customWidth="1"/>
    <col min="9987" max="9987" width="12.85546875" style="1" customWidth="1"/>
    <col min="9988" max="9989" width="14.140625" style="1" customWidth="1"/>
    <col min="9990" max="9990" width="16" style="1" customWidth="1"/>
    <col min="9991" max="9991" width="15.28515625" style="1" customWidth="1"/>
    <col min="9992" max="9992" width="32" style="1" customWidth="1"/>
    <col min="9993" max="9993" width="19.42578125" style="1" customWidth="1"/>
    <col min="9994" max="9994" width="51.140625" style="1" customWidth="1"/>
    <col min="9995" max="9995" width="20.5703125" style="1" customWidth="1"/>
    <col min="9996" max="10240" width="0.85546875" style="1"/>
    <col min="10241" max="10241" width="12" style="1" customWidth="1"/>
    <col min="10242" max="10242" width="51.42578125" style="1" customWidth="1"/>
    <col min="10243" max="10243" width="12.85546875" style="1" customWidth="1"/>
    <col min="10244" max="10245" width="14.140625" style="1" customWidth="1"/>
    <col min="10246" max="10246" width="16" style="1" customWidth="1"/>
    <col min="10247" max="10247" width="15.28515625" style="1" customWidth="1"/>
    <col min="10248" max="10248" width="32" style="1" customWidth="1"/>
    <col min="10249" max="10249" width="19.42578125" style="1" customWidth="1"/>
    <col min="10250" max="10250" width="51.140625" style="1" customWidth="1"/>
    <col min="10251" max="10251" width="20.5703125" style="1" customWidth="1"/>
    <col min="10252" max="10496" width="0.85546875" style="1"/>
    <col min="10497" max="10497" width="12" style="1" customWidth="1"/>
    <col min="10498" max="10498" width="51.42578125" style="1" customWidth="1"/>
    <col min="10499" max="10499" width="12.85546875" style="1" customWidth="1"/>
    <col min="10500" max="10501" width="14.140625" style="1" customWidth="1"/>
    <col min="10502" max="10502" width="16" style="1" customWidth="1"/>
    <col min="10503" max="10503" width="15.28515625" style="1" customWidth="1"/>
    <col min="10504" max="10504" width="32" style="1" customWidth="1"/>
    <col min="10505" max="10505" width="19.42578125" style="1" customWidth="1"/>
    <col min="10506" max="10506" width="51.140625" style="1" customWidth="1"/>
    <col min="10507" max="10507" width="20.5703125" style="1" customWidth="1"/>
    <col min="10508" max="10752" width="0.85546875" style="1"/>
    <col min="10753" max="10753" width="12" style="1" customWidth="1"/>
    <col min="10754" max="10754" width="51.42578125" style="1" customWidth="1"/>
    <col min="10755" max="10755" width="12.85546875" style="1" customWidth="1"/>
    <col min="10756" max="10757" width="14.140625" style="1" customWidth="1"/>
    <col min="10758" max="10758" width="16" style="1" customWidth="1"/>
    <col min="10759" max="10759" width="15.28515625" style="1" customWidth="1"/>
    <col min="10760" max="10760" width="32" style="1" customWidth="1"/>
    <col min="10761" max="10761" width="19.42578125" style="1" customWidth="1"/>
    <col min="10762" max="10762" width="51.140625" style="1" customWidth="1"/>
    <col min="10763" max="10763" width="20.5703125" style="1" customWidth="1"/>
    <col min="10764" max="11008" width="0.85546875" style="1"/>
    <col min="11009" max="11009" width="12" style="1" customWidth="1"/>
    <col min="11010" max="11010" width="51.42578125" style="1" customWidth="1"/>
    <col min="11011" max="11011" width="12.85546875" style="1" customWidth="1"/>
    <col min="11012" max="11013" width="14.140625" style="1" customWidth="1"/>
    <col min="11014" max="11014" width="16" style="1" customWidth="1"/>
    <col min="11015" max="11015" width="15.28515625" style="1" customWidth="1"/>
    <col min="11016" max="11016" width="32" style="1" customWidth="1"/>
    <col min="11017" max="11017" width="19.42578125" style="1" customWidth="1"/>
    <col min="11018" max="11018" width="51.140625" style="1" customWidth="1"/>
    <col min="11019" max="11019" width="20.5703125" style="1" customWidth="1"/>
    <col min="11020" max="11264" width="0.85546875" style="1"/>
    <col min="11265" max="11265" width="12" style="1" customWidth="1"/>
    <col min="11266" max="11266" width="51.42578125" style="1" customWidth="1"/>
    <col min="11267" max="11267" width="12.85546875" style="1" customWidth="1"/>
    <col min="11268" max="11269" width="14.140625" style="1" customWidth="1"/>
    <col min="11270" max="11270" width="16" style="1" customWidth="1"/>
    <col min="11271" max="11271" width="15.28515625" style="1" customWidth="1"/>
    <col min="11272" max="11272" width="32" style="1" customWidth="1"/>
    <col min="11273" max="11273" width="19.42578125" style="1" customWidth="1"/>
    <col min="11274" max="11274" width="51.140625" style="1" customWidth="1"/>
    <col min="11275" max="11275" width="20.5703125" style="1" customWidth="1"/>
    <col min="11276" max="11520" width="0.85546875" style="1"/>
    <col min="11521" max="11521" width="12" style="1" customWidth="1"/>
    <col min="11522" max="11522" width="51.42578125" style="1" customWidth="1"/>
    <col min="11523" max="11523" width="12.85546875" style="1" customWidth="1"/>
    <col min="11524" max="11525" width="14.140625" style="1" customWidth="1"/>
    <col min="11526" max="11526" width="16" style="1" customWidth="1"/>
    <col min="11527" max="11527" width="15.28515625" style="1" customWidth="1"/>
    <col min="11528" max="11528" width="32" style="1" customWidth="1"/>
    <col min="11529" max="11529" width="19.42578125" style="1" customWidth="1"/>
    <col min="11530" max="11530" width="51.140625" style="1" customWidth="1"/>
    <col min="11531" max="11531" width="20.5703125" style="1" customWidth="1"/>
    <col min="11532" max="11776" width="0.85546875" style="1"/>
    <col min="11777" max="11777" width="12" style="1" customWidth="1"/>
    <col min="11778" max="11778" width="51.42578125" style="1" customWidth="1"/>
    <col min="11779" max="11779" width="12.85546875" style="1" customWidth="1"/>
    <col min="11780" max="11781" width="14.140625" style="1" customWidth="1"/>
    <col min="11782" max="11782" width="16" style="1" customWidth="1"/>
    <col min="11783" max="11783" width="15.28515625" style="1" customWidth="1"/>
    <col min="11784" max="11784" width="32" style="1" customWidth="1"/>
    <col min="11785" max="11785" width="19.42578125" style="1" customWidth="1"/>
    <col min="11786" max="11786" width="51.140625" style="1" customWidth="1"/>
    <col min="11787" max="11787" width="20.5703125" style="1" customWidth="1"/>
    <col min="11788" max="12032" width="0.85546875" style="1"/>
    <col min="12033" max="12033" width="12" style="1" customWidth="1"/>
    <col min="12034" max="12034" width="51.42578125" style="1" customWidth="1"/>
    <col min="12035" max="12035" width="12.85546875" style="1" customWidth="1"/>
    <col min="12036" max="12037" width="14.140625" style="1" customWidth="1"/>
    <col min="12038" max="12038" width="16" style="1" customWidth="1"/>
    <col min="12039" max="12039" width="15.28515625" style="1" customWidth="1"/>
    <col min="12040" max="12040" width="32" style="1" customWidth="1"/>
    <col min="12041" max="12041" width="19.42578125" style="1" customWidth="1"/>
    <col min="12042" max="12042" width="51.140625" style="1" customWidth="1"/>
    <col min="12043" max="12043" width="20.5703125" style="1" customWidth="1"/>
    <col min="12044" max="12288" width="0.85546875" style="1"/>
    <col min="12289" max="12289" width="12" style="1" customWidth="1"/>
    <col min="12290" max="12290" width="51.42578125" style="1" customWidth="1"/>
    <col min="12291" max="12291" width="12.85546875" style="1" customWidth="1"/>
    <col min="12292" max="12293" width="14.140625" style="1" customWidth="1"/>
    <col min="12294" max="12294" width="16" style="1" customWidth="1"/>
    <col min="12295" max="12295" width="15.28515625" style="1" customWidth="1"/>
    <col min="12296" max="12296" width="32" style="1" customWidth="1"/>
    <col min="12297" max="12297" width="19.42578125" style="1" customWidth="1"/>
    <col min="12298" max="12298" width="51.140625" style="1" customWidth="1"/>
    <col min="12299" max="12299" width="20.5703125" style="1" customWidth="1"/>
    <col min="12300" max="12544" width="0.85546875" style="1"/>
    <col min="12545" max="12545" width="12" style="1" customWidth="1"/>
    <col min="12546" max="12546" width="51.42578125" style="1" customWidth="1"/>
    <col min="12547" max="12547" width="12.85546875" style="1" customWidth="1"/>
    <col min="12548" max="12549" width="14.140625" style="1" customWidth="1"/>
    <col min="12550" max="12550" width="16" style="1" customWidth="1"/>
    <col min="12551" max="12551" width="15.28515625" style="1" customWidth="1"/>
    <col min="12552" max="12552" width="32" style="1" customWidth="1"/>
    <col min="12553" max="12553" width="19.42578125" style="1" customWidth="1"/>
    <col min="12554" max="12554" width="51.140625" style="1" customWidth="1"/>
    <col min="12555" max="12555" width="20.5703125" style="1" customWidth="1"/>
    <col min="12556" max="12800" width="0.85546875" style="1"/>
    <col min="12801" max="12801" width="12" style="1" customWidth="1"/>
    <col min="12802" max="12802" width="51.42578125" style="1" customWidth="1"/>
    <col min="12803" max="12803" width="12.85546875" style="1" customWidth="1"/>
    <col min="12804" max="12805" width="14.140625" style="1" customWidth="1"/>
    <col min="12806" max="12806" width="16" style="1" customWidth="1"/>
    <col min="12807" max="12807" width="15.28515625" style="1" customWidth="1"/>
    <col min="12808" max="12808" width="32" style="1" customWidth="1"/>
    <col min="12809" max="12809" width="19.42578125" style="1" customWidth="1"/>
    <col min="12810" max="12810" width="51.140625" style="1" customWidth="1"/>
    <col min="12811" max="12811" width="20.5703125" style="1" customWidth="1"/>
    <col min="12812" max="13056" width="0.85546875" style="1"/>
    <col min="13057" max="13057" width="12" style="1" customWidth="1"/>
    <col min="13058" max="13058" width="51.42578125" style="1" customWidth="1"/>
    <col min="13059" max="13059" width="12.85546875" style="1" customWidth="1"/>
    <col min="13060" max="13061" width="14.140625" style="1" customWidth="1"/>
    <col min="13062" max="13062" width="16" style="1" customWidth="1"/>
    <col min="13063" max="13063" width="15.28515625" style="1" customWidth="1"/>
    <col min="13064" max="13064" width="32" style="1" customWidth="1"/>
    <col min="13065" max="13065" width="19.42578125" style="1" customWidth="1"/>
    <col min="13066" max="13066" width="51.140625" style="1" customWidth="1"/>
    <col min="13067" max="13067" width="20.5703125" style="1" customWidth="1"/>
    <col min="13068" max="13312" width="0.85546875" style="1"/>
    <col min="13313" max="13313" width="12" style="1" customWidth="1"/>
    <col min="13314" max="13314" width="51.42578125" style="1" customWidth="1"/>
    <col min="13315" max="13315" width="12.85546875" style="1" customWidth="1"/>
    <col min="13316" max="13317" width="14.140625" style="1" customWidth="1"/>
    <col min="13318" max="13318" width="16" style="1" customWidth="1"/>
    <col min="13319" max="13319" width="15.28515625" style="1" customWidth="1"/>
    <col min="13320" max="13320" width="32" style="1" customWidth="1"/>
    <col min="13321" max="13321" width="19.42578125" style="1" customWidth="1"/>
    <col min="13322" max="13322" width="51.140625" style="1" customWidth="1"/>
    <col min="13323" max="13323" width="20.5703125" style="1" customWidth="1"/>
    <col min="13324" max="13568" width="0.85546875" style="1"/>
    <col min="13569" max="13569" width="12" style="1" customWidth="1"/>
    <col min="13570" max="13570" width="51.42578125" style="1" customWidth="1"/>
    <col min="13571" max="13571" width="12.85546875" style="1" customWidth="1"/>
    <col min="13572" max="13573" width="14.140625" style="1" customWidth="1"/>
    <col min="13574" max="13574" width="16" style="1" customWidth="1"/>
    <col min="13575" max="13575" width="15.28515625" style="1" customWidth="1"/>
    <col min="13576" max="13576" width="32" style="1" customWidth="1"/>
    <col min="13577" max="13577" width="19.42578125" style="1" customWidth="1"/>
    <col min="13578" max="13578" width="51.140625" style="1" customWidth="1"/>
    <col min="13579" max="13579" width="20.5703125" style="1" customWidth="1"/>
    <col min="13580" max="13824" width="0.85546875" style="1"/>
    <col min="13825" max="13825" width="12" style="1" customWidth="1"/>
    <col min="13826" max="13826" width="51.42578125" style="1" customWidth="1"/>
    <col min="13827" max="13827" width="12.85546875" style="1" customWidth="1"/>
    <col min="13828" max="13829" width="14.140625" style="1" customWidth="1"/>
    <col min="13830" max="13830" width="16" style="1" customWidth="1"/>
    <col min="13831" max="13831" width="15.28515625" style="1" customWidth="1"/>
    <col min="13832" max="13832" width="32" style="1" customWidth="1"/>
    <col min="13833" max="13833" width="19.42578125" style="1" customWidth="1"/>
    <col min="13834" max="13834" width="51.140625" style="1" customWidth="1"/>
    <col min="13835" max="13835" width="20.5703125" style="1" customWidth="1"/>
    <col min="13836" max="14080" width="0.85546875" style="1"/>
    <col min="14081" max="14081" width="12" style="1" customWidth="1"/>
    <col min="14082" max="14082" width="51.42578125" style="1" customWidth="1"/>
    <col min="14083" max="14083" width="12.85546875" style="1" customWidth="1"/>
    <col min="14084" max="14085" width="14.140625" style="1" customWidth="1"/>
    <col min="14086" max="14086" width="16" style="1" customWidth="1"/>
    <col min="14087" max="14087" width="15.28515625" style="1" customWidth="1"/>
    <col min="14088" max="14088" width="32" style="1" customWidth="1"/>
    <col min="14089" max="14089" width="19.42578125" style="1" customWidth="1"/>
    <col min="14090" max="14090" width="51.140625" style="1" customWidth="1"/>
    <col min="14091" max="14091" width="20.5703125" style="1" customWidth="1"/>
    <col min="14092" max="14336" width="0.85546875" style="1"/>
    <col min="14337" max="14337" width="12" style="1" customWidth="1"/>
    <col min="14338" max="14338" width="51.42578125" style="1" customWidth="1"/>
    <col min="14339" max="14339" width="12.85546875" style="1" customWidth="1"/>
    <col min="14340" max="14341" width="14.140625" style="1" customWidth="1"/>
    <col min="14342" max="14342" width="16" style="1" customWidth="1"/>
    <col min="14343" max="14343" width="15.28515625" style="1" customWidth="1"/>
    <col min="14344" max="14344" width="32" style="1" customWidth="1"/>
    <col min="14345" max="14345" width="19.42578125" style="1" customWidth="1"/>
    <col min="14346" max="14346" width="51.140625" style="1" customWidth="1"/>
    <col min="14347" max="14347" width="20.5703125" style="1" customWidth="1"/>
    <col min="14348" max="14592" width="0.85546875" style="1"/>
    <col min="14593" max="14593" width="12" style="1" customWidth="1"/>
    <col min="14594" max="14594" width="51.42578125" style="1" customWidth="1"/>
    <col min="14595" max="14595" width="12.85546875" style="1" customWidth="1"/>
    <col min="14596" max="14597" width="14.140625" style="1" customWidth="1"/>
    <col min="14598" max="14598" width="16" style="1" customWidth="1"/>
    <col min="14599" max="14599" width="15.28515625" style="1" customWidth="1"/>
    <col min="14600" max="14600" width="32" style="1" customWidth="1"/>
    <col min="14601" max="14601" width="19.42578125" style="1" customWidth="1"/>
    <col min="14602" max="14602" width="51.140625" style="1" customWidth="1"/>
    <col min="14603" max="14603" width="20.5703125" style="1" customWidth="1"/>
    <col min="14604" max="14848" width="0.85546875" style="1"/>
    <col min="14849" max="14849" width="12" style="1" customWidth="1"/>
    <col min="14850" max="14850" width="51.42578125" style="1" customWidth="1"/>
    <col min="14851" max="14851" width="12.85546875" style="1" customWidth="1"/>
    <col min="14852" max="14853" width="14.140625" style="1" customWidth="1"/>
    <col min="14854" max="14854" width="16" style="1" customWidth="1"/>
    <col min="14855" max="14855" width="15.28515625" style="1" customWidth="1"/>
    <col min="14856" max="14856" width="32" style="1" customWidth="1"/>
    <col min="14857" max="14857" width="19.42578125" style="1" customWidth="1"/>
    <col min="14858" max="14858" width="51.140625" style="1" customWidth="1"/>
    <col min="14859" max="14859" width="20.5703125" style="1" customWidth="1"/>
    <col min="14860" max="15104" width="0.85546875" style="1"/>
    <col min="15105" max="15105" width="12" style="1" customWidth="1"/>
    <col min="15106" max="15106" width="51.42578125" style="1" customWidth="1"/>
    <col min="15107" max="15107" width="12.85546875" style="1" customWidth="1"/>
    <col min="15108" max="15109" width="14.140625" style="1" customWidth="1"/>
    <col min="15110" max="15110" width="16" style="1" customWidth="1"/>
    <col min="15111" max="15111" width="15.28515625" style="1" customWidth="1"/>
    <col min="15112" max="15112" width="32" style="1" customWidth="1"/>
    <col min="15113" max="15113" width="19.42578125" style="1" customWidth="1"/>
    <col min="15114" max="15114" width="51.140625" style="1" customWidth="1"/>
    <col min="15115" max="15115" width="20.5703125" style="1" customWidth="1"/>
    <col min="15116" max="15360" width="0.85546875" style="1"/>
    <col min="15361" max="15361" width="12" style="1" customWidth="1"/>
    <col min="15362" max="15362" width="51.42578125" style="1" customWidth="1"/>
    <col min="15363" max="15363" width="12.85546875" style="1" customWidth="1"/>
    <col min="15364" max="15365" width="14.140625" style="1" customWidth="1"/>
    <col min="15366" max="15366" width="16" style="1" customWidth="1"/>
    <col min="15367" max="15367" width="15.28515625" style="1" customWidth="1"/>
    <col min="15368" max="15368" width="32" style="1" customWidth="1"/>
    <col min="15369" max="15369" width="19.42578125" style="1" customWidth="1"/>
    <col min="15370" max="15370" width="51.140625" style="1" customWidth="1"/>
    <col min="15371" max="15371" width="20.5703125" style="1" customWidth="1"/>
    <col min="15372" max="15616" width="0.85546875" style="1"/>
    <col min="15617" max="15617" width="12" style="1" customWidth="1"/>
    <col min="15618" max="15618" width="51.42578125" style="1" customWidth="1"/>
    <col min="15619" max="15619" width="12.85546875" style="1" customWidth="1"/>
    <col min="15620" max="15621" width="14.140625" style="1" customWidth="1"/>
    <col min="15622" max="15622" width="16" style="1" customWidth="1"/>
    <col min="15623" max="15623" width="15.28515625" style="1" customWidth="1"/>
    <col min="15624" max="15624" width="32" style="1" customWidth="1"/>
    <col min="15625" max="15625" width="19.42578125" style="1" customWidth="1"/>
    <col min="15626" max="15626" width="51.140625" style="1" customWidth="1"/>
    <col min="15627" max="15627" width="20.5703125" style="1" customWidth="1"/>
    <col min="15628" max="15872" width="0.85546875" style="1"/>
    <col min="15873" max="15873" width="12" style="1" customWidth="1"/>
    <col min="15874" max="15874" width="51.42578125" style="1" customWidth="1"/>
    <col min="15875" max="15875" width="12.85546875" style="1" customWidth="1"/>
    <col min="15876" max="15877" width="14.140625" style="1" customWidth="1"/>
    <col min="15878" max="15878" width="16" style="1" customWidth="1"/>
    <col min="15879" max="15879" width="15.28515625" style="1" customWidth="1"/>
    <col min="15880" max="15880" width="32" style="1" customWidth="1"/>
    <col min="15881" max="15881" width="19.42578125" style="1" customWidth="1"/>
    <col min="15882" max="15882" width="51.140625" style="1" customWidth="1"/>
    <col min="15883" max="15883" width="20.5703125" style="1" customWidth="1"/>
    <col min="15884" max="16128" width="0.85546875" style="1"/>
    <col min="16129" max="16129" width="12" style="1" customWidth="1"/>
    <col min="16130" max="16130" width="51.42578125" style="1" customWidth="1"/>
    <col min="16131" max="16131" width="12.85546875" style="1" customWidth="1"/>
    <col min="16132" max="16133" width="14.140625" style="1" customWidth="1"/>
    <col min="16134" max="16134" width="16" style="1" customWidth="1"/>
    <col min="16135" max="16135" width="15.28515625" style="1" customWidth="1"/>
    <col min="16136" max="16136" width="32" style="1" customWidth="1"/>
    <col min="16137" max="16137" width="19.42578125" style="1" customWidth="1"/>
    <col min="16138" max="16138" width="51.140625" style="1" customWidth="1"/>
    <col min="16139" max="16139" width="20.5703125" style="1" customWidth="1"/>
    <col min="16140" max="16384" width="0.85546875" style="1"/>
  </cols>
  <sheetData>
    <row r="1" spans="1:13" x14ac:dyDescent="0.25">
      <c r="D1" s="95"/>
      <c r="E1" s="95"/>
      <c r="F1" s="95"/>
      <c r="G1" s="95"/>
      <c r="H1" s="95"/>
      <c r="I1" s="95"/>
    </row>
    <row r="3" spans="1:13" s="3" customFormat="1" ht="15" customHeight="1" x14ac:dyDescent="0.2">
      <c r="A3" s="101" t="s">
        <v>236</v>
      </c>
      <c r="B3" s="101"/>
      <c r="C3" s="101"/>
      <c r="D3" s="101"/>
      <c r="E3" s="101"/>
      <c r="F3" s="101"/>
      <c r="G3" s="101"/>
      <c r="H3" s="101"/>
      <c r="I3" s="101"/>
      <c r="J3" s="101"/>
      <c r="K3" s="101"/>
      <c r="L3" s="101"/>
      <c r="M3" s="101"/>
    </row>
    <row r="4" spans="1:13" s="4" customFormat="1" ht="15" customHeight="1" x14ac:dyDescent="0.2">
      <c r="A4" s="101" t="s">
        <v>247</v>
      </c>
      <c r="B4" s="101"/>
      <c r="C4" s="101"/>
      <c r="D4" s="101"/>
      <c r="E4" s="101"/>
      <c r="F4" s="101"/>
      <c r="G4" s="101"/>
      <c r="H4" s="101"/>
      <c r="I4" s="101"/>
      <c r="J4" s="101"/>
      <c r="K4" s="69"/>
      <c r="L4" s="69"/>
      <c r="M4" s="69"/>
    </row>
    <row r="5" spans="1:13" s="4" customFormat="1" ht="15" customHeight="1" x14ac:dyDescent="0.2">
      <c r="A5" s="101" t="s">
        <v>233</v>
      </c>
      <c r="B5" s="101"/>
      <c r="C5" s="101"/>
      <c r="D5" s="101"/>
      <c r="E5" s="101"/>
      <c r="F5" s="101"/>
      <c r="G5" s="101"/>
      <c r="H5" s="101"/>
      <c r="I5" s="101"/>
      <c r="J5" s="101"/>
      <c r="K5" s="69"/>
      <c r="L5" s="69"/>
      <c r="M5" s="69"/>
    </row>
    <row r="6" spans="1:13" s="5" customFormat="1" ht="17.25" customHeight="1" x14ac:dyDescent="0.2">
      <c r="J6" s="6"/>
    </row>
    <row r="7" spans="1:13" ht="106.5" customHeight="1" x14ac:dyDescent="0.25">
      <c r="A7" s="88" t="s">
        <v>0</v>
      </c>
      <c r="B7" s="96" t="s">
        <v>1</v>
      </c>
      <c r="C7" s="88" t="s">
        <v>2</v>
      </c>
      <c r="D7" s="98" t="s">
        <v>234</v>
      </c>
      <c r="E7" s="99"/>
      <c r="F7" s="70" t="s">
        <v>235</v>
      </c>
      <c r="G7" s="8" t="s">
        <v>228</v>
      </c>
      <c r="H7" s="100" t="s">
        <v>3</v>
      </c>
      <c r="I7" s="8" t="s">
        <v>229</v>
      </c>
      <c r="J7" s="88" t="s">
        <v>4</v>
      </c>
      <c r="K7" s="88" t="s">
        <v>230</v>
      </c>
    </row>
    <row r="8" spans="1:13" ht="17.25" customHeight="1" x14ac:dyDescent="0.25">
      <c r="A8" s="89"/>
      <c r="B8" s="97"/>
      <c r="C8" s="89"/>
      <c r="D8" s="7" t="s">
        <v>5</v>
      </c>
      <c r="E8" s="7" t="s">
        <v>6</v>
      </c>
      <c r="F8" s="7" t="s">
        <v>5</v>
      </c>
      <c r="G8" s="7" t="s">
        <v>5</v>
      </c>
      <c r="H8" s="100"/>
      <c r="I8" s="7" t="s">
        <v>5</v>
      </c>
      <c r="J8" s="89"/>
      <c r="K8" s="89"/>
    </row>
    <row r="9" spans="1:13" x14ac:dyDescent="0.25">
      <c r="A9" s="9"/>
      <c r="B9" s="10" t="s">
        <v>7</v>
      </c>
      <c r="C9" s="11"/>
      <c r="D9" s="11"/>
      <c r="E9" s="11"/>
      <c r="F9" s="11"/>
      <c r="G9" s="11"/>
      <c r="H9" s="11"/>
      <c r="I9" s="12"/>
      <c r="J9" s="13"/>
      <c r="K9" s="14"/>
    </row>
    <row r="10" spans="1:13" x14ac:dyDescent="0.25">
      <c r="A10" s="9" t="s">
        <v>8</v>
      </c>
      <c r="B10" s="15" t="s">
        <v>9</v>
      </c>
      <c r="C10" s="16" t="s">
        <v>10</v>
      </c>
      <c r="D10" s="17">
        <f>ROUND(D11,1)+ROUND(D12,1)+ROUND(D13,1)</f>
        <v>102394.90000000001</v>
      </c>
      <c r="E10" s="17">
        <f>ROUND(E11,1)+ROUND(E12,1)+ROUND(E13,1)</f>
        <v>78281.7</v>
      </c>
      <c r="F10" s="17">
        <f>ROUND(F11,1)+ROUND(F12,1)+ROUND(F13,1)</f>
        <v>102394.90000000001</v>
      </c>
      <c r="G10" s="17">
        <f>ROUND(G11,1)+ROUND(G12,1)+ROUND(G13,1)</f>
        <v>78302.399999999994</v>
      </c>
      <c r="H10" s="18"/>
      <c r="I10" s="17">
        <f>ROUND(I11,1)+ROUND(I12,1)+ROUND(I13,1)</f>
        <v>83596.800000000003</v>
      </c>
      <c r="J10" s="19"/>
      <c r="K10" s="20">
        <f t="shared" ref="K10:K73" si="0">IF(AND(F10&gt;0, I10&gt;0),I10/F10,"-")</f>
        <v>0.81641566132688248</v>
      </c>
    </row>
    <row r="11" spans="1:13" ht="35.25" customHeight="1" x14ac:dyDescent="0.25">
      <c r="A11" s="9" t="s">
        <v>11</v>
      </c>
      <c r="B11" s="15" t="s">
        <v>12</v>
      </c>
      <c r="C11" s="9" t="s">
        <v>10</v>
      </c>
      <c r="D11" s="21">
        <v>20.8</v>
      </c>
      <c r="E11" s="21"/>
      <c r="F11" s="21">
        <v>20.8</v>
      </c>
      <c r="G11" s="21">
        <v>20.7</v>
      </c>
      <c r="H11" s="18"/>
      <c r="I11" s="21">
        <v>20.8</v>
      </c>
      <c r="J11" s="19" t="s">
        <v>237</v>
      </c>
      <c r="K11" s="20">
        <f t="shared" si="0"/>
        <v>1</v>
      </c>
    </row>
    <row r="12" spans="1:13" ht="15" customHeight="1" x14ac:dyDescent="0.25">
      <c r="A12" s="9" t="s">
        <v>13</v>
      </c>
      <c r="B12" s="15" t="s">
        <v>14</v>
      </c>
      <c r="C12" s="9" t="s">
        <v>10</v>
      </c>
      <c r="D12" s="22"/>
      <c r="E12" s="22"/>
      <c r="F12" s="22"/>
      <c r="G12" s="21"/>
      <c r="H12" s="18"/>
      <c r="I12" s="22"/>
      <c r="J12" s="19"/>
      <c r="K12" s="20" t="str">
        <f t="shared" si="0"/>
        <v>-</v>
      </c>
    </row>
    <row r="13" spans="1:13" ht="28.5" customHeight="1" x14ac:dyDescent="0.25">
      <c r="A13" s="9" t="s">
        <v>15</v>
      </c>
      <c r="B13" s="15" t="s">
        <v>16</v>
      </c>
      <c r="C13" s="16" t="s">
        <v>10</v>
      </c>
      <c r="D13" s="17">
        <f>ROUND(D14,1)+ROUND(D15,1)+ROUND(D16,1)</f>
        <v>102374.09999999999</v>
      </c>
      <c r="E13" s="17">
        <f>ROUND(E14,1)+ROUND(E15,1)+ROUND(E16,1)</f>
        <v>78281.7</v>
      </c>
      <c r="F13" s="17">
        <f>ROUND(F14,1)+ROUND(F15,1)+ROUND(F16,1)</f>
        <v>102374.09999999999</v>
      </c>
      <c r="G13" s="17">
        <f>ROUND(G14,1)+ROUND(G15,1)+ROUND(G16,1)</f>
        <v>78281.7</v>
      </c>
      <c r="H13" s="79" t="s">
        <v>240</v>
      </c>
      <c r="I13" s="17">
        <f>ROUND(I14,1)+ROUND(I15,1)+ROUND(I16,1)</f>
        <v>83576</v>
      </c>
      <c r="J13" s="92" t="s">
        <v>248</v>
      </c>
      <c r="K13" s="20">
        <f t="shared" si="0"/>
        <v>0.81637836132381147</v>
      </c>
    </row>
    <row r="14" spans="1:13" x14ac:dyDescent="0.25">
      <c r="A14" s="9" t="s">
        <v>17</v>
      </c>
      <c r="B14" s="23" t="s">
        <v>18</v>
      </c>
      <c r="C14" s="9" t="s">
        <v>10</v>
      </c>
      <c r="D14" s="21">
        <v>10376.4</v>
      </c>
      <c r="E14" s="21">
        <v>8319.77</v>
      </c>
      <c r="F14" s="21">
        <v>10376.4</v>
      </c>
      <c r="G14" s="72">
        <v>8319.77</v>
      </c>
      <c r="H14" s="80"/>
      <c r="I14" s="21">
        <v>8800</v>
      </c>
      <c r="J14" s="93"/>
      <c r="K14" s="20">
        <f t="shared" si="0"/>
        <v>0.84807833159862767</v>
      </c>
    </row>
    <row r="15" spans="1:13" x14ac:dyDescent="0.25">
      <c r="A15" s="9" t="s">
        <v>19</v>
      </c>
      <c r="B15" s="23" t="s">
        <v>20</v>
      </c>
      <c r="C15" s="9" t="s">
        <v>10</v>
      </c>
      <c r="D15" s="21">
        <v>90352.5</v>
      </c>
      <c r="E15" s="21">
        <v>69191.45</v>
      </c>
      <c r="F15" s="21">
        <v>90352.5</v>
      </c>
      <c r="G15" s="72">
        <v>69191.45</v>
      </c>
      <c r="H15" s="80"/>
      <c r="I15" s="21">
        <v>73504</v>
      </c>
      <c r="J15" s="93"/>
      <c r="K15" s="20">
        <f t="shared" si="0"/>
        <v>0.81352480562242324</v>
      </c>
    </row>
    <row r="16" spans="1:13" x14ac:dyDescent="0.25">
      <c r="A16" s="9" t="s">
        <v>21</v>
      </c>
      <c r="B16" s="23" t="s">
        <v>22</v>
      </c>
      <c r="C16" s="9" t="s">
        <v>10</v>
      </c>
      <c r="D16" s="21">
        <v>1645.2</v>
      </c>
      <c r="E16" s="21">
        <v>770.39</v>
      </c>
      <c r="F16" s="21">
        <v>1645.2</v>
      </c>
      <c r="G16" s="72">
        <v>770.39</v>
      </c>
      <c r="H16" s="80"/>
      <c r="I16" s="21">
        <v>1272</v>
      </c>
      <c r="J16" s="93"/>
      <c r="K16" s="20">
        <f t="shared" si="0"/>
        <v>0.77315827862873809</v>
      </c>
    </row>
    <row r="17" spans="1:11" x14ac:dyDescent="0.25">
      <c r="A17" s="9" t="s">
        <v>23</v>
      </c>
      <c r="B17" s="15" t="s">
        <v>24</v>
      </c>
      <c r="C17" s="9" t="s">
        <v>10</v>
      </c>
      <c r="D17" s="21"/>
      <c r="E17" s="21"/>
      <c r="F17" s="21"/>
      <c r="G17" s="21"/>
      <c r="H17" s="80"/>
      <c r="I17" s="21"/>
      <c r="J17" s="93"/>
      <c r="K17" s="20" t="str">
        <f t="shared" si="0"/>
        <v>-</v>
      </c>
    </row>
    <row r="18" spans="1:11" x14ac:dyDescent="0.25">
      <c r="A18" s="9" t="s">
        <v>25</v>
      </c>
      <c r="B18" s="15" t="s">
        <v>26</v>
      </c>
      <c r="C18" s="9" t="s">
        <v>10</v>
      </c>
      <c r="D18" s="21"/>
      <c r="E18" s="21"/>
      <c r="F18" s="21"/>
      <c r="G18" s="21"/>
      <c r="H18" s="80"/>
      <c r="I18" s="21"/>
      <c r="J18" s="93"/>
      <c r="K18" s="20" t="str">
        <f t="shared" si="0"/>
        <v>-</v>
      </c>
    </row>
    <row r="19" spans="1:11" x14ac:dyDescent="0.25">
      <c r="A19" s="9" t="s">
        <v>27</v>
      </c>
      <c r="B19" s="23" t="s">
        <v>28</v>
      </c>
      <c r="C19" s="9" t="s">
        <v>10</v>
      </c>
      <c r="D19" s="21"/>
      <c r="E19" s="21"/>
      <c r="F19" s="21"/>
      <c r="G19" s="21"/>
      <c r="H19" s="80"/>
      <c r="I19" s="21"/>
      <c r="J19" s="93"/>
      <c r="K19" s="20" t="str">
        <f t="shared" si="0"/>
        <v>-</v>
      </c>
    </row>
    <row r="20" spans="1:11" ht="87" customHeight="1" x14ac:dyDescent="0.25">
      <c r="A20" s="9" t="s">
        <v>29</v>
      </c>
      <c r="B20" s="23" t="s">
        <v>30</v>
      </c>
      <c r="C20" s="9" t="s">
        <v>10</v>
      </c>
      <c r="D20" s="21"/>
      <c r="E20" s="21"/>
      <c r="F20" s="21"/>
      <c r="G20" s="21"/>
      <c r="H20" s="80"/>
      <c r="I20" s="21"/>
      <c r="J20" s="94"/>
      <c r="K20" s="20" t="str">
        <f t="shared" si="0"/>
        <v>-</v>
      </c>
    </row>
    <row r="21" spans="1:11" x14ac:dyDescent="0.25">
      <c r="A21" s="9" t="s">
        <v>31</v>
      </c>
      <c r="B21" s="15" t="s">
        <v>32</v>
      </c>
      <c r="C21" s="9" t="s">
        <v>10</v>
      </c>
      <c r="D21" s="21">
        <f>ROUND(D10,1)-ROUND(D17,1)-ROUND(D19,1)</f>
        <v>102394.9</v>
      </c>
      <c r="E21" s="21">
        <f>ROUND(E10,1)-ROUND(E17,1)-ROUND(E19,1)</f>
        <v>78281.7</v>
      </c>
      <c r="F21" s="21">
        <f>ROUND(F10,1)-ROUND(F17,1)-ROUND(F19,1)</f>
        <v>102394.9</v>
      </c>
      <c r="G21" s="21">
        <f>G10-G17-G19</f>
        <v>78302.399999999994</v>
      </c>
      <c r="H21" s="81"/>
      <c r="I21" s="21">
        <f>ROUND(I10,1)-ROUND(I17,1)-ROUND(I19,1)</f>
        <v>83596.800000000003</v>
      </c>
      <c r="J21" s="19"/>
      <c r="K21" s="20">
        <f t="shared" si="0"/>
        <v>0.81641566132688259</v>
      </c>
    </row>
    <row r="22" spans="1:11" x14ac:dyDescent="0.25">
      <c r="A22" s="24"/>
      <c r="B22" s="10" t="s">
        <v>33</v>
      </c>
      <c r="C22" s="11"/>
      <c r="D22" s="11"/>
      <c r="E22" s="11"/>
      <c r="F22" s="11"/>
      <c r="G22" s="11"/>
      <c r="H22" s="77"/>
      <c r="I22" s="12"/>
      <c r="J22" s="1"/>
      <c r="K22" s="20" t="str">
        <f t="shared" si="0"/>
        <v>-</v>
      </c>
    </row>
    <row r="23" spans="1:11" x14ac:dyDescent="0.25">
      <c r="A23" s="24"/>
      <c r="B23" s="15" t="s">
        <v>34</v>
      </c>
      <c r="C23" s="25" t="s">
        <v>239</v>
      </c>
      <c r="D23" s="9"/>
      <c r="E23" s="9"/>
      <c r="F23" s="9"/>
      <c r="G23" s="9"/>
      <c r="H23" s="77"/>
      <c r="I23" s="9"/>
      <c r="J23" s="27"/>
      <c r="K23" s="20" t="str">
        <f t="shared" si="0"/>
        <v>-</v>
      </c>
    </row>
    <row r="24" spans="1:11" ht="15" customHeight="1" x14ac:dyDescent="0.25">
      <c r="A24" s="9" t="s">
        <v>8</v>
      </c>
      <c r="B24" s="28" t="s">
        <v>35</v>
      </c>
      <c r="C24" s="16" t="s">
        <v>36</v>
      </c>
      <c r="D24" s="17">
        <f>ROUND(D25,1)+ROUND(D81,1)+ROUND(D97,1)</f>
        <v>10076.199999999999</v>
      </c>
      <c r="E24" s="17">
        <f>ROUND(E25,1)+ROUND(E81,1)+ROUND(E97,1)</f>
        <v>10504</v>
      </c>
      <c r="F24" s="17">
        <f>ROUND(F25,1)+ROUND(F81,1)+ROUND(F97,1)</f>
        <v>10221.299999999999</v>
      </c>
      <c r="G24" s="17">
        <f>ROUND(G25,1)+ROUND(G81,1)+ROUND(G97,1)</f>
        <v>11771.999999999998</v>
      </c>
      <c r="H24" s="77"/>
      <c r="I24" s="17">
        <f>ROUND(I25,1)+ROUND(I81,1)+ROUND(I97,1)</f>
        <v>11101.4</v>
      </c>
      <c r="J24" s="19" t="s">
        <v>37</v>
      </c>
      <c r="K24" s="20">
        <f t="shared" si="0"/>
        <v>1.0861045072544588</v>
      </c>
    </row>
    <row r="25" spans="1:11" ht="90" customHeight="1" x14ac:dyDescent="0.25">
      <c r="A25" s="29" t="s">
        <v>11</v>
      </c>
      <c r="B25" s="28" t="s">
        <v>38</v>
      </c>
      <c r="C25" s="16" t="s">
        <v>36</v>
      </c>
      <c r="D25" s="30">
        <f>ROUND(D32,1)+ROUND(D54,1)+ROUND(D61,1)</f>
        <v>8991.5</v>
      </c>
      <c r="E25" s="30">
        <f>ROUND(E32,1)+ROUND(E54,1)+ROUND(E61,1)</f>
        <v>9430.9</v>
      </c>
      <c r="F25" s="31">
        <f>ROUND(F32,1)+ROUND(F54,1)+ROUND(F61,1)</f>
        <v>9281.7999999999993</v>
      </c>
      <c r="G25" s="30">
        <f>ROUND(G32,1)+ROUND(G54,1)+ROUND(G61,1)</f>
        <v>9954.2999999999993</v>
      </c>
      <c r="H25" s="77"/>
      <c r="I25" s="32">
        <f>F25*$I$28*(1-$I$27)*(1+$I$31)</f>
        <v>9740.3209200000001</v>
      </c>
      <c r="J25" s="33" t="s">
        <v>231</v>
      </c>
      <c r="K25" s="34">
        <f t="shared" si="0"/>
        <v>1.0494000000000001</v>
      </c>
    </row>
    <row r="26" spans="1:11" ht="15" customHeight="1" x14ac:dyDescent="0.25">
      <c r="A26" s="9"/>
      <c r="B26" s="35" t="s">
        <v>39</v>
      </c>
      <c r="C26" s="36"/>
      <c r="D26" s="37"/>
      <c r="E26" s="38"/>
      <c r="F26" s="38"/>
      <c r="G26" s="38"/>
      <c r="H26" s="76"/>
      <c r="I26" s="38"/>
      <c r="J26" s="39"/>
      <c r="K26" s="40" t="str">
        <f t="shared" si="0"/>
        <v>-</v>
      </c>
    </row>
    <row r="27" spans="1:11" ht="31.5" customHeight="1" x14ac:dyDescent="0.25">
      <c r="A27" s="9"/>
      <c r="B27" s="41" t="s">
        <v>40</v>
      </c>
      <c r="C27" s="42" t="s">
        <v>41</v>
      </c>
      <c r="D27" s="43">
        <v>0.01</v>
      </c>
      <c r="E27" s="43" t="s">
        <v>42</v>
      </c>
      <c r="F27" s="44">
        <v>0.01</v>
      </c>
      <c r="G27" s="43"/>
      <c r="H27" s="45"/>
      <c r="I27" s="44">
        <v>0.01</v>
      </c>
      <c r="J27" s="46" t="s">
        <v>43</v>
      </c>
      <c r="K27" s="47">
        <f t="shared" si="0"/>
        <v>1</v>
      </c>
    </row>
    <row r="28" spans="1:11" ht="38.25" customHeight="1" x14ac:dyDescent="0.25">
      <c r="A28" s="9"/>
      <c r="B28" s="41" t="s">
        <v>44</v>
      </c>
      <c r="C28" s="42" t="s">
        <v>41</v>
      </c>
      <c r="D28" s="48">
        <v>1.036</v>
      </c>
      <c r="E28" s="48">
        <v>1.0669999999999999</v>
      </c>
      <c r="F28" s="49">
        <v>1.0429999999999999</v>
      </c>
      <c r="G28" s="48"/>
      <c r="H28" s="18"/>
      <c r="I28" s="49">
        <v>1.06</v>
      </c>
      <c r="J28" s="90" t="s">
        <v>232</v>
      </c>
      <c r="K28" s="20">
        <f t="shared" si="0"/>
        <v>1.0162991371045063</v>
      </c>
    </row>
    <row r="29" spans="1:11" ht="42" customHeight="1" x14ac:dyDescent="0.25">
      <c r="A29" s="9"/>
      <c r="B29" s="50" t="s">
        <v>45</v>
      </c>
      <c r="C29" s="42" t="s">
        <v>41</v>
      </c>
      <c r="D29" s="48">
        <v>1.04</v>
      </c>
      <c r="E29" s="48">
        <v>1.0529999999999999</v>
      </c>
      <c r="F29" s="49">
        <v>1.0349999999999999</v>
      </c>
      <c r="G29" s="48"/>
      <c r="H29" s="18"/>
      <c r="I29" s="49">
        <v>1.08</v>
      </c>
      <c r="J29" s="91"/>
      <c r="K29" s="20">
        <f t="shared" si="0"/>
        <v>1.0434782608695654</v>
      </c>
    </row>
    <row r="30" spans="1:11" ht="25.5" customHeight="1" x14ac:dyDescent="0.25">
      <c r="A30" s="9"/>
      <c r="B30" s="51" t="s">
        <v>46</v>
      </c>
      <c r="C30" s="52" t="s">
        <v>41</v>
      </c>
      <c r="D30" s="53">
        <v>0.30199999999999999</v>
      </c>
      <c r="E30" s="53"/>
      <c r="F30" s="53">
        <v>0.215</v>
      </c>
      <c r="G30" s="53">
        <v>0.30199999999999999</v>
      </c>
      <c r="H30" s="18"/>
      <c r="I30" s="53">
        <f>F30</f>
        <v>0.215</v>
      </c>
      <c r="J30" s="54"/>
      <c r="K30" s="20">
        <f t="shared" si="0"/>
        <v>1</v>
      </c>
    </row>
    <row r="31" spans="1:11" ht="15" customHeight="1" x14ac:dyDescent="0.25">
      <c r="A31" s="9"/>
      <c r="B31" s="41" t="s">
        <v>47</v>
      </c>
      <c r="C31" s="42" t="s">
        <v>41</v>
      </c>
      <c r="D31" s="48">
        <v>0</v>
      </c>
      <c r="E31" s="48">
        <v>0</v>
      </c>
      <c r="F31" s="49">
        <f>D31</f>
        <v>0</v>
      </c>
      <c r="G31" s="48"/>
      <c r="H31" s="18"/>
      <c r="I31" s="48">
        <v>0</v>
      </c>
      <c r="J31" s="19"/>
      <c r="K31" s="20" t="str">
        <f t="shared" si="0"/>
        <v>-</v>
      </c>
    </row>
    <row r="32" spans="1:11" ht="15" customHeight="1" x14ac:dyDescent="0.25">
      <c r="A32" s="9" t="s">
        <v>48</v>
      </c>
      <c r="B32" s="15" t="s">
        <v>49</v>
      </c>
      <c r="C32" s="16" t="s">
        <v>36</v>
      </c>
      <c r="D32" s="17">
        <f>ROUND(D33,1)+ROUND(D34,1)+ROUND(D35,1)+ROUND(D44,1)+ROUND(D45,1)+ROUND(D46,1)</f>
        <v>5401</v>
      </c>
      <c r="E32" s="17">
        <f>ROUND(E33,1)+ROUND(E34,1)+ROUND(E35,1)+ROUND(E44,1)+ROUND(E45,1)+ROUND(E46,1)</f>
        <v>5059.7</v>
      </c>
      <c r="F32" s="55">
        <f>ROUND(F33,1)+ROUND(F34,1)+ROUND(F35,1)+ROUND(F44,1)+ROUND(F45,1)+ROUND(F46,1)</f>
        <v>5572.7</v>
      </c>
      <c r="G32" s="17">
        <f>ROUND(G33,1)+ROUND(G34,1)+ROUND(G35,1)+ROUND(G44,1)+ROUND(G45,1)+ROUND(G46,1)</f>
        <v>5985.6</v>
      </c>
      <c r="H32" s="18"/>
      <c r="I32" s="56">
        <f>F32*$I$28*(1-$I$27)*(1+$I$31)</f>
        <v>5847.9913799999995</v>
      </c>
      <c r="J32" s="19" t="s">
        <v>37</v>
      </c>
      <c r="K32" s="20">
        <f t="shared" si="0"/>
        <v>1.0493999999999999</v>
      </c>
    </row>
    <row r="33" spans="1:11" ht="45" x14ac:dyDescent="0.25">
      <c r="A33" s="9" t="s">
        <v>50</v>
      </c>
      <c r="B33" s="23" t="s">
        <v>51</v>
      </c>
      <c r="C33" s="9" t="s">
        <v>36</v>
      </c>
      <c r="D33" s="17">
        <v>195.3</v>
      </c>
      <c r="E33" s="17"/>
      <c r="F33" s="55">
        <v>201.7</v>
      </c>
      <c r="G33" s="17">
        <v>215.82</v>
      </c>
      <c r="H33" s="78" t="s">
        <v>241</v>
      </c>
      <c r="I33" s="56">
        <f t="shared" ref="I33:I80" si="1">F33*$I$28*(1-$I$27)*(1+$I$31)</f>
        <v>211.66397999999998</v>
      </c>
      <c r="J33" s="57" t="s">
        <v>42</v>
      </c>
      <c r="K33" s="20">
        <f t="shared" si="0"/>
        <v>1.0493999999999999</v>
      </c>
    </row>
    <row r="34" spans="1:11" ht="45" x14ac:dyDescent="0.25">
      <c r="A34" s="9" t="s">
        <v>52</v>
      </c>
      <c r="B34" s="23" t="s">
        <v>53</v>
      </c>
      <c r="C34" s="9" t="s">
        <v>36</v>
      </c>
      <c r="D34" s="17"/>
      <c r="E34" s="17"/>
      <c r="F34" s="55"/>
      <c r="G34" s="21"/>
      <c r="H34" s="18"/>
      <c r="I34" s="56">
        <f t="shared" si="1"/>
        <v>0</v>
      </c>
      <c r="J34" s="57" t="s">
        <v>42</v>
      </c>
      <c r="K34" s="20" t="str">
        <f t="shared" si="0"/>
        <v>-</v>
      </c>
    </row>
    <row r="35" spans="1:11" ht="45" x14ac:dyDescent="0.25">
      <c r="A35" s="9" t="s">
        <v>54</v>
      </c>
      <c r="B35" s="23" t="s">
        <v>55</v>
      </c>
      <c r="C35" s="16" t="s">
        <v>36</v>
      </c>
      <c r="D35" s="17">
        <f>ROUND(D36,1)+ROUND(D39,1)+ROUND(D40,1)+ROUND(D43,1)</f>
        <v>5205.7000000000007</v>
      </c>
      <c r="E35" s="17">
        <f>ROUND(E36,1)+ROUND(E39,1)+ROUND(E40,1)+ROUND(E43,1)</f>
        <v>5009.5</v>
      </c>
      <c r="F35" s="55">
        <f>ROUND(F36,1)+ROUND(F39,1)+ROUND(F40,1)+ROUND(F43,1)</f>
        <v>5371</v>
      </c>
      <c r="G35" s="17">
        <f>ROUND(G36,1)+ROUND(G39,1)+ROUND(G40,1)+ROUND(G43,1)</f>
        <v>5769.7999999999993</v>
      </c>
      <c r="H35" s="18"/>
      <c r="I35" s="56">
        <f t="shared" si="1"/>
        <v>5636.3274000000001</v>
      </c>
      <c r="J35" s="57" t="s">
        <v>42</v>
      </c>
      <c r="K35" s="20">
        <f t="shared" si="0"/>
        <v>1.0494000000000001</v>
      </c>
    </row>
    <row r="36" spans="1:11" ht="45" x14ac:dyDescent="0.25">
      <c r="A36" s="9" t="s">
        <v>56</v>
      </c>
      <c r="B36" s="50" t="s">
        <v>57</v>
      </c>
      <c r="C36" s="9" t="s">
        <v>36</v>
      </c>
      <c r="D36" s="17">
        <v>3772</v>
      </c>
      <c r="E36" s="17">
        <v>4102.9799999999996</v>
      </c>
      <c r="F36" s="55">
        <v>3896.5</v>
      </c>
      <c r="G36" s="21">
        <v>4169.24</v>
      </c>
      <c r="H36" s="78" t="s">
        <v>242</v>
      </c>
      <c r="I36" s="56">
        <f t="shared" si="1"/>
        <v>4088.9870999999998</v>
      </c>
      <c r="J36" s="57" t="s">
        <v>42</v>
      </c>
      <c r="K36" s="20">
        <f t="shared" si="0"/>
        <v>1.0493999999999999</v>
      </c>
    </row>
    <row r="37" spans="1:11" ht="30" x14ac:dyDescent="0.25">
      <c r="A37" s="9"/>
      <c r="B37" s="58" t="s">
        <v>58</v>
      </c>
      <c r="C37" s="9" t="s">
        <v>59</v>
      </c>
      <c r="D37" s="17">
        <f>D36*1000/D38/12</f>
        <v>28575.757575757572</v>
      </c>
      <c r="E37" s="17">
        <f>E36*1000/E38/12</f>
        <v>29074.40476190476</v>
      </c>
      <c r="F37" s="55">
        <f>F36*1000/F38/12</f>
        <v>29518.939393939392</v>
      </c>
      <c r="G37" s="71">
        <f>G36*1000/G38/12</f>
        <v>31585.151515151516</v>
      </c>
      <c r="H37" s="18"/>
      <c r="I37" s="56">
        <f t="shared" si="1"/>
        <v>30977.174999999999</v>
      </c>
      <c r="J37" s="57" t="s">
        <v>42</v>
      </c>
      <c r="K37" s="20">
        <f t="shared" si="0"/>
        <v>1.0494000000000001</v>
      </c>
    </row>
    <row r="38" spans="1:11" ht="1.5" customHeight="1" x14ac:dyDescent="0.25">
      <c r="A38" s="9"/>
      <c r="B38" s="58" t="s">
        <v>60</v>
      </c>
      <c r="C38" s="9" t="s">
        <v>61</v>
      </c>
      <c r="D38" s="17">
        <v>11</v>
      </c>
      <c r="E38" s="17">
        <v>11.76</v>
      </c>
      <c r="F38" s="55">
        <v>11</v>
      </c>
      <c r="G38" s="21">
        <v>11</v>
      </c>
      <c r="H38" s="18"/>
      <c r="I38" s="56">
        <f>F38</f>
        <v>11</v>
      </c>
      <c r="J38" s="57" t="s">
        <v>42</v>
      </c>
      <c r="K38" s="20">
        <f t="shared" si="0"/>
        <v>1</v>
      </c>
    </row>
    <row r="39" spans="1:11" ht="30" hidden="1" x14ac:dyDescent="0.25">
      <c r="A39" s="9" t="s">
        <v>62</v>
      </c>
      <c r="B39" s="50" t="s">
        <v>63</v>
      </c>
      <c r="C39" s="9" t="s">
        <v>36</v>
      </c>
      <c r="D39" s="59">
        <f>D36*D30</f>
        <v>1139.144</v>
      </c>
      <c r="E39" s="59">
        <v>906.51</v>
      </c>
      <c r="F39" s="73">
        <v>1176.7</v>
      </c>
      <c r="G39" s="59">
        <f>G36*G30</f>
        <v>1259.1104799999998</v>
      </c>
      <c r="H39" s="18"/>
      <c r="I39" s="56">
        <f t="shared" si="1"/>
        <v>1234.8289800000002</v>
      </c>
      <c r="J39" s="57" t="s">
        <v>42</v>
      </c>
      <c r="K39" s="20">
        <f t="shared" si="0"/>
        <v>1.0494000000000001</v>
      </c>
    </row>
    <row r="40" spans="1:11" ht="45" hidden="1" x14ac:dyDescent="0.25">
      <c r="A40" s="9" t="s">
        <v>64</v>
      </c>
      <c r="B40" s="50" t="s">
        <v>65</v>
      </c>
      <c r="C40" s="9" t="s">
        <v>36</v>
      </c>
      <c r="D40" s="17">
        <v>226.3</v>
      </c>
      <c r="E40" s="17"/>
      <c r="F40" s="55">
        <v>245.1</v>
      </c>
      <c r="G40" s="21">
        <v>262.29000000000002</v>
      </c>
      <c r="H40" s="78" t="s">
        <v>242</v>
      </c>
      <c r="I40" s="56">
        <f t="shared" si="1"/>
        <v>257.20794000000001</v>
      </c>
      <c r="J40" s="57" t="s">
        <v>42</v>
      </c>
      <c r="K40" s="20">
        <f t="shared" si="0"/>
        <v>1.0494000000000001</v>
      </c>
    </row>
    <row r="41" spans="1:11" ht="30" hidden="1" x14ac:dyDescent="0.25">
      <c r="A41" s="9"/>
      <c r="B41" s="58" t="s">
        <v>66</v>
      </c>
      <c r="C41" s="9" t="s">
        <v>59</v>
      </c>
      <c r="D41" s="17">
        <f>D40*1000/D42/12</f>
        <v>28573.232323232322</v>
      </c>
      <c r="E41" s="17"/>
      <c r="F41" s="55">
        <f>F40*1000/F42/12</f>
        <v>30946.969696969696</v>
      </c>
      <c r="G41" s="17">
        <f>G40*1000/G42/12</f>
        <v>33117.42424242424</v>
      </c>
      <c r="H41" s="18"/>
      <c r="I41" s="56">
        <f t="shared" si="1"/>
        <v>32475.75</v>
      </c>
      <c r="J41" s="57" t="s">
        <v>42</v>
      </c>
      <c r="K41" s="20">
        <f t="shared" si="0"/>
        <v>1.0494000000000001</v>
      </c>
    </row>
    <row r="42" spans="1:11" ht="30" hidden="1" x14ac:dyDescent="0.25">
      <c r="A42" s="9"/>
      <c r="B42" s="58" t="s">
        <v>67</v>
      </c>
      <c r="C42" s="9" t="s">
        <v>61</v>
      </c>
      <c r="D42" s="71">
        <v>0.66</v>
      </c>
      <c r="E42" s="17"/>
      <c r="F42" s="74">
        <v>0.66</v>
      </c>
      <c r="G42" s="72">
        <v>0.66</v>
      </c>
      <c r="H42" s="18"/>
      <c r="I42" s="56">
        <f>F42</f>
        <v>0.66</v>
      </c>
      <c r="J42" s="57" t="s">
        <v>42</v>
      </c>
      <c r="K42" s="20">
        <f t="shared" si="0"/>
        <v>1</v>
      </c>
    </row>
    <row r="43" spans="1:11" ht="30" x14ac:dyDescent="0.25">
      <c r="A43" s="9" t="s">
        <v>68</v>
      </c>
      <c r="B43" s="50" t="s">
        <v>69</v>
      </c>
      <c r="C43" s="9" t="s">
        <v>36</v>
      </c>
      <c r="D43" s="59">
        <f>D40*D30</f>
        <v>68.342600000000004</v>
      </c>
      <c r="E43" s="59">
        <f>E40*E30</f>
        <v>0</v>
      </c>
      <c r="F43" s="56">
        <f>F40*F30</f>
        <v>52.6965</v>
      </c>
      <c r="G43" s="59">
        <f>G40*G30</f>
        <v>79.211579999999998</v>
      </c>
      <c r="H43" s="18"/>
      <c r="I43" s="56">
        <f t="shared" si="1"/>
        <v>55.299707100000006</v>
      </c>
      <c r="J43" s="57" t="s">
        <v>42</v>
      </c>
      <c r="K43" s="20">
        <f t="shared" si="0"/>
        <v>1.0494000000000001</v>
      </c>
    </row>
    <row r="44" spans="1:11" ht="45" customHeight="1" x14ac:dyDescent="0.25">
      <c r="A44" s="9" t="s">
        <v>70</v>
      </c>
      <c r="B44" s="23" t="s">
        <v>71</v>
      </c>
      <c r="C44" s="9" t="s">
        <v>36</v>
      </c>
      <c r="D44" s="17"/>
      <c r="E44" s="17"/>
      <c r="F44" s="55"/>
      <c r="G44" s="21"/>
      <c r="H44" s="18"/>
      <c r="I44" s="56">
        <f t="shared" si="1"/>
        <v>0</v>
      </c>
      <c r="J44" s="57" t="s">
        <v>42</v>
      </c>
      <c r="K44" s="20" t="str">
        <f t="shared" si="0"/>
        <v>-</v>
      </c>
    </row>
    <row r="45" spans="1:11" ht="15" customHeight="1" x14ac:dyDescent="0.25">
      <c r="A45" s="9" t="s">
        <v>72</v>
      </c>
      <c r="B45" s="23" t="s">
        <v>73</v>
      </c>
      <c r="C45" s="9" t="s">
        <v>36</v>
      </c>
      <c r="D45" s="17"/>
      <c r="E45" s="17"/>
      <c r="F45" s="55"/>
      <c r="G45" s="21"/>
      <c r="H45" s="18"/>
      <c r="I45" s="56">
        <f t="shared" si="1"/>
        <v>0</v>
      </c>
      <c r="J45" s="57" t="s">
        <v>42</v>
      </c>
      <c r="K45" s="20" t="str">
        <f t="shared" si="0"/>
        <v>-</v>
      </c>
    </row>
    <row r="46" spans="1:11" x14ac:dyDescent="0.25">
      <c r="A46" s="9" t="s">
        <v>74</v>
      </c>
      <c r="B46" s="23" t="s">
        <v>75</v>
      </c>
      <c r="C46" s="16" t="s">
        <v>36</v>
      </c>
      <c r="D46" s="17">
        <f>ROUND(D47,1)+ROUND(D48,1)+ROUND(D49,1)+ROUND(D50,1)+ROUND(D51,1)+ROUND(D52,1)+ROUND(D53,1)</f>
        <v>0</v>
      </c>
      <c r="E46" s="17">
        <f>ROUND(E47,1)+ROUND(E48,1)+ROUND(E49,1)+ROUND(E50,1)+ROUND(E51,1)+ROUND(E52,1)+ROUND(E53,1)</f>
        <v>50.2</v>
      </c>
      <c r="F46" s="55">
        <f>ROUND(F47,1)+ROUND(F48,1)+ROUND(F49,1)+ROUND(F50,1)+ROUND(F51,1)+ROUND(F52,1)+ROUND(F53,1)</f>
        <v>0</v>
      </c>
      <c r="G46" s="17">
        <f>ROUND(G47,1)+ROUND(G48,1)+ROUND(G49,1)+ROUND(G50,1)+ROUND(G51,1)+ROUND(G52,1)+ROUND(G53,1)</f>
        <v>0</v>
      </c>
      <c r="H46" s="18"/>
      <c r="I46" s="56">
        <f t="shared" si="1"/>
        <v>0</v>
      </c>
      <c r="J46" s="57" t="s">
        <v>42</v>
      </c>
      <c r="K46" s="20" t="str">
        <f t="shared" si="0"/>
        <v>-</v>
      </c>
    </row>
    <row r="47" spans="1:11" ht="30" x14ac:dyDescent="0.25">
      <c r="A47" s="9" t="s">
        <v>76</v>
      </c>
      <c r="B47" s="23" t="s">
        <v>77</v>
      </c>
      <c r="C47" s="9" t="s">
        <v>36</v>
      </c>
      <c r="D47" s="17"/>
      <c r="E47" s="17"/>
      <c r="F47" s="55"/>
      <c r="G47" s="21"/>
      <c r="H47" s="18"/>
      <c r="I47" s="56">
        <f t="shared" si="1"/>
        <v>0</v>
      </c>
      <c r="J47" s="57" t="s">
        <v>42</v>
      </c>
      <c r="K47" s="20" t="str">
        <f t="shared" si="0"/>
        <v>-</v>
      </c>
    </row>
    <row r="48" spans="1:11" ht="60" x14ac:dyDescent="0.25">
      <c r="A48" s="9" t="s">
        <v>78</v>
      </c>
      <c r="B48" s="23" t="s">
        <v>79</v>
      </c>
      <c r="C48" s="9" t="s">
        <v>36</v>
      </c>
      <c r="D48" s="17"/>
      <c r="E48" s="17">
        <v>20.149999999999999</v>
      </c>
      <c r="F48" s="55"/>
      <c r="G48" s="21"/>
      <c r="H48" s="18"/>
      <c r="I48" s="56">
        <f t="shared" si="1"/>
        <v>0</v>
      </c>
      <c r="J48" s="57" t="s">
        <v>42</v>
      </c>
      <c r="K48" s="20" t="str">
        <f t="shared" si="0"/>
        <v>-</v>
      </c>
    </row>
    <row r="49" spans="1:11" x14ac:dyDescent="0.25">
      <c r="A49" s="9" t="s">
        <v>80</v>
      </c>
      <c r="B49" s="50" t="s">
        <v>81</v>
      </c>
      <c r="C49" s="9" t="s">
        <v>36</v>
      </c>
      <c r="D49" s="17"/>
      <c r="E49" s="17"/>
      <c r="F49" s="55"/>
      <c r="G49" s="21"/>
      <c r="H49" s="18"/>
      <c r="I49" s="56">
        <f t="shared" si="1"/>
        <v>0</v>
      </c>
      <c r="J49" s="57" t="s">
        <v>42</v>
      </c>
      <c r="K49" s="20" t="str">
        <f t="shared" si="0"/>
        <v>-</v>
      </c>
    </row>
    <row r="50" spans="1:11" ht="33" customHeight="1" x14ac:dyDescent="0.25">
      <c r="A50" s="9" t="s">
        <v>82</v>
      </c>
      <c r="B50" s="50" t="s">
        <v>83</v>
      </c>
      <c r="C50" s="9" t="s">
        <v>36</v>
      </c>
      <c r="D50" s="17"/>
      <c r="E50" s="17"/>
      <c r="F50" s="55"/>
      <c r="G50" s="21"/>
      <c r="H50" s="18"/>
      <c r="I50" s="56">
        <f t="shared" si="1"/>
        <v>0</v>
      </c>
      <c r="J50" s="57" t="s">
        <v>42</v>
      </c>
      <c r="K50" s="20" t="str">
        <f t="shared" si="0"/>
        <v>-</v>
      </c>
    </row>
    <row r="51" spans="1:11" ht="30" x14ac:dyDescent="0.25">
      <c r="A51" s="9" t="s">
        <v>84</v>
      </c>
      <c r="B51" s="50" t="s">
        <v>85</v>
      </c>
      <c r="C51" s="9" t="s">
        <v>36</v>
      </c>
      <c r="D51" s="17"/>
      <c r="E51" s="17"/>
      <c r="F51" s="55"/>
      <c r="G51" s="21"/>
      <c r="H51" s="18"/>
      <c r="I51" s="56">
        <f t="shared" si="1"/>
        <v>0</v>
      </c>
      <c r="J51" s="57" t="s">
        <v>42</v>
      </c>
      <c r="K51" s="20" t="str">
        <f t="shared" si="0"/>
        <v>-</v>
      </c>
    </row>
    <row r="52" spans="1:11" ht="15" customHeight="1" x14ac:dyDescent="0.25">
      <c r="A52" s="9" t="s">
        <v>86</v>
      </c>
      <c r="B52" s="50" t="s">
        <v>87</v>
      </c>
      <c r="C52" s="9" t="s">
        <v>36</v>
      </c>
      <c r="D52" s="17"/>
      <c r="E52" s="17"/>
      <c r="F52" s="55"/>
      <c r="G52" s="21"/>
      <c r="H52" s="18"/>
      <c r="I52" s="56">
        <f t="shared" si="1"/>
        <v>0</v>
      </c>
      <c r="J52" s="57" t="s">
        <v>42</v>
      </c>
      <c r="K52" s="20" t="str">
        <f t="shared" si="0"/>
        <v>-</v>
      </c>
    </row>
    <row r="53" spans="1:11" ht="15" customHeight="1" x14ac:dyDescent="0.25">
      <c r="A53" s="9" t="s">
        <v>88</v>
      </c>
      <c r="B53" s="50" t="s">
        <v>89</v>
      </c>
      <c r="C53" s="9" t="s">
        <v>36</v>
      </c>
      <c r="D53" s="17"/>
      <c r="E53" s="17">
        <v>30.01</v>
      </c>
      <c r="F53" s="55"/>
      <c r="G53" s="21"/>
      <c r="H53" s="18"/>
      <c r="I53" s="56">
        <f t="shared" si="1"/>
        <v>0</v>
      </c>
      <c r="J53" s="57" t="s">
        <v>42</v>
      </c>
      <c r="K53" s="20" t="str">
        <f t="shared" si="0"/>
        <v>-</v>
      </c>
    </row>
    <row r="54" spans="1:11" ht="15" customHeight="1" x14ac:dyDescent="0.25">
      <c r="A54" s="60" t="s">
        <v>90</v>
      </c>
      <c r="B54" s="15" t="s">
        <v>91</v>
      </c>
      <c r="C54" s="16" t="s">
        <v>36</v>
      </c>
      <c r="D54" s="17">
        <f>ROUND(D55,1)+ROUND(D56,1)+ROUND(D57,1)+ROUND(D60,1)</f>
        <v>1969.5</v>
      </c>
      <c r="E54" s="17">
        <f>ROUND(E55,1)+ROUND(E56,1)+ROUND(E57,1)+ROUND(E60,1)</f>
        <v>2563.4</v>
      </c>
      <c r="F54" s="55">
        <f>ROUND(F55,1)+ROUND(F56,1)+ROUND(F57,1)+ROUND(F60,1)</f>
        <v>2034.5</v>
      </c>
      <c r="G54" s="17">
        <f>ROUND(G55,1)+ROUND(G56,1)+ROUND(G57,1)+ROUND(G60,1)</f>
        <v>2176.9</v>
      </c>
      <c r="H54" s="18"/>
      <c r="I54" s="56">
        <f t="shared" si="1"/>
        <v>2135.0043000000001</v>
      </c>
      <c r="J54" s="57" t="s">
        <v>42</v>
      </c>
      <c r="K54" s="20">
        <f t="shared" si="0"/>
        <v>1.0494000000000001</v>
      </c>
    </row>
    <row r="55" spans="1:11" ht="45.75" customHeight="1" x14ac:dyDescent="0.25">
      <c r="A55" s="9" t="s">
        <v>92</v>
      </c>
      <c r="B55" s="23" t="s">
        <v>93</v>
      </c>
      <c r="C55" s="9" t="s">
        <v>36</v>
      </c>
      <c r="D55" s="17"/>
      <c r="E55" s="17">
        <v>28.51</v>
      </c>
      <c r="F55" s="55"/>
      <c r="G55" s="21"/>
      <c r="H55" s="18"/>
      <c r="I55" s="56">
        <f t="shared" si="1"/>
        <v>0</v>
      </c>
      <c r="J55" s="57" t="s">
        <v>42</v>
      </c>
      <c r="K55" s="20" t="str">
        <f t="shared" si="0"/>
        <v>-</v>
      </c>
    </row>
    <row r="56" spans="1:11" ht="45" x14ac:dyDescent="0.25">
      <c r="A56" s="9" t="s">
        <v>94</v>
      </c>
      <c r="B56" s="23" t="s">
        <v>95</v>
      </c>
      <c r="C56" s="9" t="s">
        <v>36</v>
      </c>
      <c r="D56" s="17">
        <v>1969.5</v>
      </c>
      <c r="E56" s="17">
        <v>2534.9299999999998</v>
      </c>
      <c r="F56" s="55">
        <v>2034.5</v>
      </c>
      <c r="G56" s="21">
        <v>2176.91</v>
      </c>
      <c r="H56" s="18"/>
      <c r="I56" s="56">
        <f t="shared" si="1"/>
        <v>2135.0043000000001</v>
      </c>
      <c r="J56" s="57" t="s">
        <v>42</v>
      </c>
      <c r="K56" s="20">
        <f t="shared" si="0"/>
        <v>1.0494000000000001</v>
      </c>
    </row>
    <row r="57" spans="1:11" ht="28.5" customHeight="1" x14ac:dyDescent="0.25">
      <c r="A57" s="9" t="s">
        <v>96</v>
      </c>
      <c r="B57" s="23" t="s">
        <v>97</v>
      </c>
      <c r="C57" s="9" t="s">
        <v>36</v>
      </c>
      <c r="D57" s="17"/>
      <c r="E57" s="17"/>
      <c r="F57" s="55"/>
      <c r="G57" s="21"/>
      <c r="H57" s="18"/>
      <c r="I57" s="56">
        <f t="shared" si="1"/>
        <v>0</v>
      </c>
      <c r="J57" s="57" t="s">
        <v>42</v>
      </c>
      <c r="K57" s="20" t="str">
        <f t="shared" si="0"/>
        <v>-</v>
      </c>
    </row>
    <row r="58" spans="1:11" ht="28.5" customHeight="1" x14ac:dyDescent="0.25">
      <c r="A58" s="9"/>
      <c r="B58" s="50" t="s">
        <v>98</v>
      </c>
      <c r="C58" s="9"/>
      <c r="D58" s="17"/>
      <c r="E58" s="17"/>
      <c r="F58" s="55"/>
      <c r="G58" s="21"/>
      <c r="H58" s="18"/>
      <c r="I58" s="56">
        <f t="shared" si="1"/>
        <v>0</v>
      </c>
      <c r="J58" s="57" t="s">
        <v>42</v>
      </c>
      <c r="K58" s="20" t="str">
        <f t="shared" si="0"/>
        <v>-</v>
      </c>
    </row>
    <row r="59" spans="1:11" ht="28.5" customHeight="1" x14ac:dyDescent="0.25">
      <c r="A59" s="9"/>
      <c r="B59" s="50" t="s">
        <v>99</v>
      </c>
      <c r="C59" s="9"/>
      <c r="D59" s="17"/>
      <c r="E59" s="17"/>
      <c r="F59" s="55"/>
      <c r="G59" s="21"/>
      <c r="H59" s="18"/>
      <c r="I59" s="56">
        <f>F59</f>
        <v>0</v>
      </c>
      <c r="J59" s="57" t="s">
        <v>42</v>
      </c>
      <c r="K59" s="20" t="str">
        <f t="shared" si="0"/>
        <v>-</v>
      </c>
    </row>
    <row r="60" spans="1:11" ht="30" x14ac:dyDescent="0.25">
      <c r="A60" s="9" t="s">
        <v>100</v>
      </c>
      <c r="B60" s="23" t="s">
        <v>101</v>
      </c>
      <c r="C60" s="9" t="s">
        <v>36</v>
      </c>
      <c r="D60" s="59">
        <f>D57*D30</f>
        <v>0</v>
      </c>
      <c r="E60" s="59">
        <f>E57*E30</f>
        <v>0</v>
      </c>
      <c r="F60" s="56">
        <f>F57*F30</f>
        <v>0</v>
      </c>
      <c r="G60" s="59">
        <f>G57*G30</f>
        <v>0</v>
      </c>
      <c r="H60" s="18"/>
      <c r="I60" s="56">
        <f t="shared" si="1"/>
        <v>0</v>
      </c>
      <c r="J60" s="57" t="s">
        <v>42</v>
      </c>
      <c r="K60" s="20" t="str">
        <f t="shared" si="0"/>
        <v>-</v>
      </c>
    </row>
    <row r="61" spans="1:11" ht="15" customHeight="1" x14ac:dyDescent="0.25">
      <c r="A61" s="9" t="s">
        <v>102</v>
      </c>
      <c r="B61" s="15" t="s">
        <v>103</v>
      </c>
      <c r="C61" s="16" t="s">
        <v>36</v>
      </c>
      <c r="D61" s="17">
        <f>ROUND(D62,1)+ROUND(D65,1)+ROUND(D66,1)</f>
        <v>1621</v>
      </c>
      <c r="E61" s="17">
        <f>ROUND(E62,1)+ROUND(E65,1)+ROUND(E66,1)</f>
        <v>1807.8</v>
      </c>
      <c r="F61" s="55">
        <f>ROUND(F62,1)+ROUND(F65,1)+ROUND(F66,1)</f>
        <v>1674.6</v>
      </c>
      <c r="G61" s="17">
        <f>ROUND(G62,1)+ROUND(G65,1)+ROUND(G66,1)</f>
        <v>1791.8</v>
      </c>
      <c r="H61" s="18"/>
      <c r="I61" s="56">
        <f t="shared" si="1"/>
        <v>1757.3252399999999</v>
      </c>
      <c r="J61" s="57" t="s">
        <v>42</v>
      </c>
      <c r="K61" s="20">
        <f t="shared" si="0"/>
        <v>1.0493999999999999</v>
      </c>
    </row>
    <row r="62" spans="1:11" ht="45" x14ac:dyDescent="0.25">
      <c r="A62" s="9" t="s">
        <v>104</v>
      </c>
      <c r="B62" s="23" t="s">
        <v>105</v>
      </c>
      <c r="C62" s="9" t="s">
        <v>36</v>
      </c>
      <c r="D62" s="17">
        <v>778.3</v>
      </c>
      <c r="E62" s="17">
        <v>1334.05</v>
      </c>
      <c r="F62" s="55">
        <v>804</v>
      </c>
      <c r="G62" s="21">
        <v>860.26</v>
      </c>
      <c r="H62" s="78" t="s">
        <v>242</v>
      </c>
      <c r="I62" s="56">
        <f t="shared" si="1"/>
        <v>843.71759999999995</v>
      </c>
      <c r="J62" s="57" t="s">
        <v>42</v>
      </c>
      <c r="K62" s="20">
        <f t="shared" si="0"/>
        <v>1.0493999999999999</v>
      </c>
    </row>
    <row r="63" spans="1:11" ht="30" x14ac:dyDescent="0.25">
      <c r="A63" s="9"/>
      <c r="B63" s="50" t="s">
        <v>106</v>
      </c>
      <c r="C63" s="9" t="s">
        <v>59</v>
      </c>
      <c r="D63" s="17">
        <f>D62*1000/D64/12</f>
        <v>28199.275362318844</v>
      </c>
      <c r="E63" s="17">
        <f>E62*1000/E64/12</f>
        <v>48335.144927536232</v>
      </c>
      <c r="F63" s="55">
        <f>F62*1000/F64/12</f>
        <v>29130.4347826087</v>
      </c>
      <c r="G63" s="17">
        <f>G62*1000/G64/12</f>
        <v>31168.840579710148</v>
      </c>
      <c r="H63" s="18"/>
      <c r="I63" s="56">
        <f t="shared" si="1"/>
        <v>30569.478260869571</v>
      </c>
      <c r="J63" s="57" t="s">
        <v>42</v>
      </c>
      <c r="K63" s="20">
        <f t="shared" si="0"/>
        <v>1.0494000000000001</v>
      </c>
    </row>
    <row r="64" spans="1:11" ht="45.75" customHeight="1" x14ac:dyDescent="0.25">
      <c r="A64" s="9"/>
      <c r="B64" s="50" t="s">
        <v>107</v>
      </c>
      <c r="C64" s="9" t="s">
        <v>61</v>
      </c>
      <c r="D64" s="17">
        <v>2.2999999999999998</v>
      </c>
      <c r="E64" s="17">
        <v>2.2999999999999998</v>
      </c>
      <c r="F64" s="55">
        <v>2.2999999999999998</v>
      </c>
      <c r="G64" s="21">
        <v>2.2999999999999998</v>
      </c>
      <c r="H64" s="18"/>
      <c r="I64" s="56">
        <f>F64</f>
        <v>2.2999999999999998</v>
      </c>
      <c r="J64" s="57" t="s">
        <v>42</v>
      </c>
      <c r="K64" s="20">
        <f t="shared" si="0"/>
        <v>1</v>
      </c>
    </row>
    <row r="65" spans="1:11" ht="30" x14ac:dyDescent="0.25">
      <c r="A65" s="9" t="s">
        <v>108</v>
      </c>
      <c r="B65" s="23" t="s">
        <v>109</v>
      </c>
      <c r="C65" s="9" t="s">
        <v>36</v>
      </c>
      <c r="D65" s="59">
        <f>D62*D30</f>
        <v>235.04659999999998</v>
      </c>
      <c r="E65" s="59">
        <v>263.24</v>
      </c>
      <c r="F65" s="73">
        <v>242.8</v>
      </c>
      <c r="G65" s="59">
        <f>G62*G30</f>
        <v>259.79852</v>
      </c>
      <c r="H65" s="18"/>
      <c r="I65" s="56">
        <f t="shared" si="1"/>
        <v>254.79432000000006</v>
      </c>
      <c r="J65" s="57" t="s">
        <v>42</v>
      </c>
      <c r="K65" s="20">
        <f t="shared" si="0"/>
        <v>1.0494000000000001</v>
      </c>
    </row>
    <row r="66" spans="1:11" ht="45" x14ac:dyDescent="0.25">
      <c r="A66" s="9" t="s">
        <v>110</v>
      </c>
      <c r="B66" s="23" t="s">
        <v>111</v>
      </c>
      <c r="C66" s="9" t="s">
        <v>36</v>
      </c>
      <c r="D66" s="17">
        <v>607.70000000000005</v>
      </c>
      <c r="E66" s="17">
        <v>210.47</v>
      </c>
      <c r="F66" s="55">
        <v>627.79999999999995</v>
      </c>
      <c r="G66" s="21">
        <v>671.7</v>
      </c>
      <c r="H66" s="18"/>
      <c r="I66" s="56">
        <f t="shared" si="1"/>
        <v>658.81331999999998</v>
      </c>
      <c r="J66" s="57" t="s">
        <v>42</v>
      </c>
      <c r="K66" s="20">
        <f t="shared" si="0"/>
        <v>1.0494000000000001</v>
      </c>
    </row>
    <row r="67" spans="1:11" ht="30" x14ac:dyDescent="0.25">
      <c r="A67" s="61" t="s">
        <v>8</v>
      </c>
      <c r="B67" s="50" t="s">
        <v>112</v>
      </c>
      <c r="C67" s="9" t="s">
        <v>36</v>
      </c>
      <c r="D67" s="17"/>
      <c r="E67" s="17"/>
      <c r="F67" s="55"/>
      <c r="G67" s="21"/>
      <c r="H67" s="18"/>
      <c r="I67" s="56">
        <f t="shared" si="1"/>
        <v>0</v>
      </c>
      <c r="J67" s="57" t="s">
        <v>42</v>
      </c>
      <c r="K67" s="20" t="str">
        <f t="shared" si="0"/>
        <v>-</v>
      </c>
    </row>
    <row r="68" spans="1:11" x14ac:dyDescent="0.25">
      <c r="A68" s="9"/>
      <c r="B68" s="58" t="s">
        <v>113</v>
      </c>
      <c r="C68" s="9" t="s">
        <v>36</v>
      </c>
      <c r="D68" s="17"/>
      <c r="E68" s="17"/>
      <c r="F68" s="55"/>
      <c r="G68" s="21"/>
      <c r="H68" s="18"/>
      <c r="I68" s="56">
        <f t="shared" si="1"/>
        <v>0</v>
      </c>
      <c r="J68" s="57" t="s">
        <v>42</v>
      </c>
      <c r="K68" s="20" t="str">
        <f t="shared" si="0"/>
        <v>-</v>
      </c>
    </row>
    <row r="69" spans="1:11" x14ac:dyDescent="0.25">
      <c r="A69" s="9"/>
      <c r="B69" s="58" t="s">
        <v>114</v>
      </c>
      <c r="C69" s="9" t="s">
        <v>36</v>
      </c>
      <c r="D69" s="17"/>
      <c r="E69" s="17"/>
      <c r="F69" s="55"/>
      <c r="G69" s="21"/>
      <c r="H69" s="18"/>
      <c r="I69" s="56">
        <f t="shared" si="1"/>
        <v>0</v>
      </c>
      <c r="J69" s="57" t="s">
        <v>42</v>
      </c>
      <c r="K69" s="20" t="str">
        <f t="shared" si="0"/>
        <v>-</v>
      </c>
    </row>
    <row r="70" spans="1:11" x14ac:dyDescent="0.25">
      <c r="A70" s="9"/>
      <c r="B70" s="58" t="s">
        <v>115</v>
      </c>
      <c r="C70" s="9" t="s">
        <v>36</v>
      </c>
      <c r="D70" s="17"/>
      <c r="E70" s="17"/>
      <c r="F70" s="55"/>
      <c r="G70" s="21"/>
      <c r="H70" s="18"/>
      <c r="I70" s="56">
        <f t="shared" si="1"/>
        <v>0</v>
      </c>
      <c r="J70" s="57" t="s">
        <v>42</v>
      </c>
      <c r="K70" s="20" t="str">
        <f t="shared" si="0"/>
        <v>-</v>
      </c>
    </row>
    <row r="71" spans="1:11" x14ac:dyDescent="0.25">
      <c r="A71" s="9"/>
      <c r="B71" s="58" t="s">
        <v>116</v>
      </c>
      <c r="C71" s="9" t="s">
        <v>36</v>
      </c>
      <c r="D71" s="17"/>
      <c r="E71" s="17"/>
      <c r="F71" s="55"/>
      <c r="G71" s="21"/>
      <c r="H71" s="18"/>
      <c r="I71" s="56">
        <f t="shared" si="1"/>
        <v>0</v>
      </c>
      <c r="J71" s="57" t="s">
        <v>42</v>
      </c>
      <c r="K71" s="20" t="str">
        <f t="shared" si="0"/>
        <v>-</v>
      </c>
    </row>
    <row r="72" spans="1:11" ht="30" x14ac:dyDescent="0.25">
      <c r="A72" s="9"/>
      <c r="B72" s="58" t="s">
        <v>117</v>
      </c>
      <c r="C72" s="9" t="s">
        <v>36</v>
      </c>
      <c r="D72" s="17"/>
      <c r="E72" s="17"/>
      <c r="F72" s="55"/>
      <c r="G72" s="21"/>
      <c r="H72" s="18"/>
      <c r="I72" s="56">
        <f t="shared" si="1"/>
        <v>0</v>
      </c>
      <c r="J72" s="57" t="s">
        <v>42</v>
      </c>
      <c r="K72" s="20" t="str">
        <f t="shared" si="0"/>
        <v>-</v>
      </c>
    </row>
    <row r="73" spans="1:11" x14ac:dyDescent="0.25">
      <c r="A73" s="9"/>
      <c r="B73" s="58" t="s">
        <v>118</v>
      </c>
      <c r="C73" s="9" t="s">
        <v>36</v>
      </c>
      <c r="D73" s="17"/>
      <c r="E73" s="17"/>
      <c r="F73" s="55"/>
      <c r="G73" s="21"/>
      <c r="H73" s="18"/>
      <c r="I73" s="56">
        <f t="shared" si="1"/>
        <v>0</v>
      </c>
      <c r="J73" s="57" t="s">
        <v>42</v>
      </c>
      <c r="K73" s="20" t="str">
        <f t="shared" si="0"/>
        <v>-</v>
      </c>
    </row>
    <row r="74" spans="1:11" ht="60" x14ac:dyDescent="0.25">
      <c r="A74" s="61" t="s">
        <v>23</v>
      </c>
      <c r="B74" s="50" t="s">
        <v>119</v>
      </c>
      <c r="C74" s="9" t="s">
        <v>36</v>
      </c>
      <c r="D74" s="17"/>
      <c r="E74" s="17"/>
      <c r="F74" s="55"/>
      <c r="G74" s="21"/>
      <c r="H74" s="18"/>
      <c r="I74" s="56">
        <f t="shared" si="1"/>
        <v>0</v>
      </c>
      <c r="J74" s="57" t="s">
        <v>42</v>
      </c>
      <c r="K74" s="20" t="str">
        <f t="shared" ref="K74:K137" si="2">IF(AND(F74&gt;0, I74&gt;0),I74/F74,"-")</f>
        <v>-</v>
      </c>
    </row>
    <row r="75" spans="1:11" x14ac:dyDescent="0.25">
      <c r="A75" s="61" t="s">
        <v>25</v>
      </c>
      <c r="B75" s="58" t="s">
        <v>120</v>
      </c>
      <c r="C75" s="9" t="s">
        <v>36</v>
      </c>
      <c r="D75" s="17"/>
      <c r="E75" s="17"/>
      <c r="F75" s="55"/>
      <c r="G75" s="21"/>
      <c r="H75" s="18"/>
      <c r="I75" s="56">
        <f t="shared" si="1"/>
        <v>0</v>
      </c>
      <c r="J75" s="57" t="s">
        <v>42</v>
      </c>
      <c r="K75" s="20" t="str">
        <f t="shared" si="2"/>
        <v>-</v>
      </c>
    </row>
    <row r="76" spans="1:11" x14ac:dyDescent="0.25">
      <c r="A76" s="61" t="s">
        <v>31</v>
      </c>
      <c r="B76" s="58" t="s">
        <v>121</v>
      </c>
      <c r="C76" s="9" t="s">
        <v>36</v>
      </c>
      <c r="D76" s="17"/>
      <c r="E76" s="17"/>
      <c r="F76" s="55"/>
      <c r="G76" s="21"/>
      <c r="H76" s="18"/>
      <c r="I76" s="56">
        <f t="shared" si="1"/>
        <v>0</v>
      </c>
      <c r="J76" s="57" t="s">
        <v>42</v>
      </c>
      <c r="K76" s="20" t="str">
        <f t="shared" si="2"/>
        <v>-</v>
      </c>
    </row>
    <row r="77" spans="1:11" ht="45" x14ac:dyDescent="0.25">
      <c r="A77" s="61" t="s">
        <v>122</v>
      </c>
      <c r="B77" s="50" t="s">
        <v>123</v>
      </c>
      <c r="C77" s="9" t="s">
        <v>36</v>
      </c>
      <c r="D77" s="17"/>
      <c r="E77" s="17"/>
      <c r="F77" s="55"/>
      <c r="G77" s="21"/>
      <c r="H77" s="18"/>
      <c r="I77" s="56">
        <f t="shared" si="1"/>
        <v>0</v>
      </c>
      <c r="J77" s="57" t="s">
        <v>42</v>
      </c>
      <c r="K77" s="20" t="str">
        <f t="shared" si="2"/>
        <v>-</v>
      </c>
    </row>
    <row r="78" spans="1:11" x14ac:dyDescent="0.25">
      <c r="A78" s="61" t="s">
        <v>124</v>
      </c>
      <c r="B78" s="50" t="s">
        <v>125</v>
      </c>
      <c r="C78" s="9" t="s">
        <v>36</v>
      </c>
      <c r="D78" s="17"/>
      <c r="E78" s="17"/>
      <c r="F78" s="55"/>
      <c r="G78" s="21"/>
      <c r="H78" s="18"/>
      <c r="I78" s="56">
        <f t="shared" si="1"/>
        <v>0</v>
      </c>
      <c r="J78" s="57" t="s">
        <v>42</v>
      </c>
      <c r="K78" s="20" t="str">
        <f t="shared" si="2"/>
        <v>-</v>
      </c>
    </row>
    <row r="79" spans="1:11" ht="30" x14ac:dyDescent="0.25">
      <c r="A79" s="9"/>
      <c r="B79" s="58" t="s">
        <v>126</v>
      </c>
      <c r="C79" s="9" t="s">
        <v>36</v>
      </c>
      <c r="D79" s="17"/>
      <c r="E79" s="17"/>
      <c r="F79" s="55"/>
      <c r="G79" s="21"/>
      <c r="H79" s="18"/>
      <c r="I79" s="56">
        <f t="shared" si="1"/>
        <v>0</v>
      </c>
      <c r="J79" s="57" t="s">
        <v>42</v>
      </c>
      <c r="K79" s="20" t="str">
        <f t="shared" si="2"/>
        <v>-</v>
      </c>
    </row>
    <row r="80" spans="1:11" ht="75" x14ac:dyDescent="0.25">
      <c r="A80" s="9"/>
      <c r="B80" s="58" t="s">
        <v>127</v>
      </c>
      <c r="C80" s="9" t="s">
        <v>36</v>
      </c>
      <c r="D80" s="17"/>
      <c r="E80" s="17"/>
      <c r="F80" s="55"/>
      <c r="G80" s="21"/>
      <c r="H80" s="18"/>
      <c r="I80" s="56">
        <f t="shared" si="1"/>
        <v>0</v>
      </c>
      <c r="J80" s="57" t="s">
        <v>42</v>
      </c>
      <c r="K80" s="20" t="str">
        <f t="shared" si="2"/>
        <v>-</v>
      </c>
    </row>
    <row r="81" spans="1:11" ht="15" customHeight="1" x14ac:dyDescent="0.25">
      <c r="A81" s="29" t="s">
        <v>13</v>
      </c>
      <c r="B81" s="28" t="s">
        <v>128</v>
      </c>
      <c r="C81" s="16" t="s">
        <v>36</v>
      </c>
      <c r="D81" s="17">
        <f>ROUND(D82,1)+ROUND(D93,1)</f>
        <v>350.8</v>
      </c>
      <c r="E81" s="17">
        <f>ROUND(E82,1)+ROUND(E93,1)</f>
        <v>282.10000000000002</v>
      </c>
      <c r="F81" s="17">
        <f>ROUND(F82,1)+ROUND(F93,1)</f>
        <v>363.5</v>
      </c>
      <c r="G81" s="17">
        <f>ROUND(G82,1)+ROUND(G93,1)</f>
        <v>370.4</v>
      </c>
      <c r="H81" s="18"/>
      <c r="I81" s="17">
        <f>ROUND(I82,1)+ROUND(I93,1)</f>
        <v>365.2</v>
      </c>
      <c r="J81" s="19"/>
      <c r="K81" s="20">
        <f t="shared" si="2"/>
        <v>1.0046767537826684</v>
      </c>
    </row>
    <row r="82" spans="1:11" x14ac:dyDescent="0.25">
      <c r="A82" s="9" t="s">
        <v>129</v>
      </c>
      <c r="B82" s="28" t="s">
        <v>130</v>
      </c>
      <c r="C82" s="9" t="s">
        <v>36</v>
      </c>
      <c r="D82" s="17">
        <f>(D84*D89+D85*D90+D86*D91+D87*D92)/1000</f>
        <v>350.8</v>
      </c>
      <c r="E82" s="17">
        <f>(E84*E89+E85*E90+E86*E91+E87*E92)/1000</f>
        <v>282.11</v>
      </c>
      <c r="F82" s="17">
        <f>(F84*F89+F85*F90+F86*F91+F87*F92)/1000</f>
        <v>363.5</v>
      </c>
      <c r="G82" s="17">
        <f>(G84*G89+G85*G90+G86*G91+G87*G92)/1000</f>
        <v>370.39013098594882</v>
      </c>
      <c r="H82" s="82" t="s">
        <v>243</v>
      </c>
      <c r="I82" s="17">
        <f>(I84*I89+I85*I90+I86*I91+I87*I92)/1000</f>
        <v>365.19663517529477</v>
      </c>
      <c r="J82" s="85" t="s">
        <v>244</v>
      </c>
      <c r="K82" s="20">
        <f t="shared" si="2"/>
        <v>1.0046674970434519</v>
      </c>
    </row>
    <row r="83" spans="1:11" ht="15" customHeight="1" x14ac:dyDescent="0.25">
      <c r="A83" s="9"/>
      <c r="B83" s="50" t="s">
        <v>131</v>
      </c>
      <c r="C83" s="9" t="s">
        <v>132</v>
      </c>
      <c r="D83" s="17">
        <f>SUM(D84:D87)</f>
        <v>104852</v>
      </c>
      <c r="E83" s="17">
        <v>89650</v>
      </c>
      <c r="F83" s="17">
        <f>SUM(F84:F87)</f>
        <v>104852</v>
      </c>
      <c r="G83" s="17">
        <f>SUM(G84:G87)</f>
        <v>97538.33</v>
      </c>
      <c r="H83" s="83"/>
      <c r="I83" s="17">
        <f>SUM(I84:I87)</f>
        <v>97538.33</v>
      </c>
      <c r="J83" s="86"/>
      <c r="K83" s="20">
        <f t="shared" si="2"/>
        <v>0.93024768244764044</v>
      </c>
    </row>
    <row r="84" spans="1:11" ht="15" customHeight="1" x14ac:dyDescent="0.25">
      <c r="A84" s="9"/>
      <c r="B84" s="50" t="s">
        <v>133</v>
      </c>
      <c r="C84" s="9" t="s">
        <v>132</v>
      </c>
      <c r="D84" s="21"/>
      <c r="E84" s="21"/>
      <c r="F84" s="21"/>
      <c r="G84" s="21"/>
      <c r="H84" s="83"/>
      <c r="I84" s="21"/>
      <c r="J84" s="86"/>
      <c r="K84" s="20" t="str">
        <f t="shared" si="2"/>
        <v>-</v>
      </c>
    </row>
    <row r="85" spans="1:11" ht="15" customHeight="1" x14ac:dyDescent="0.25">
      <c r="A85" s="9"/>
      <c r="B85" s="50" t="s">
        <v>134</v>
      </c>
      <c r="C85" s="9" t="s">
        <v>132</v>
      </c>
      <c r="D85" s="21"/>
      <c r="E85" s="21"/>
      <c r="F85" s="21"/>
      <c r="G85" s="21"/>
      <c r="H85" s="83"/>
      <c r="I85" s="21"/>
      <c r="J85" s="86"/>
      <c r="K85" s="20" t="str">
        <f t="shared" si="2"/>
        <v>-</v>
      </c>
    </row>
    <row r="86" spans="1:11" ht="15" customHeight="1" x14ac:dyDescent="0.25">
      <c r="A86" s="9"/>
      <c r="B86" s="50" t="s">
        <v>135</v>
      </c>
      <c r="C86" s="9" t="s">
        <v>132</v>
      </c>
      <c r="D86" s="21">
        <v>104852</v>
      </c>
      <c r="E86" s="21">
        <v>89650</v>
      </c>
      <c r="F86" s="21">
        <v>104852</v>
      </c>
      <c r="G86" s="21">
        <v>97538.33</v>
      </c>
      <c r="H86" s="83"/>
      <c r="I86" s="21">
        <v>97538.33</v>
      </c>
      <c r="J86" s="86"/>
      <c r="K86" s="20">
        <f t="shared" si="2"/>
        <v>0.93024768244764044</v>
      </c>
    </row>
    <row r="87" spans="1:11" ht="15" customHeight="1" x14ac:dyDescent="0.25">
      <c r="A87" s="9"/>
      <c r="B87" s="50" t="s">
        <v>136</v>
      </c>
      <c r="C87" s="9" t="s">
        <v>132</v>
      </c>
      <c r="D87" s="21"/>
      <c r="E87" s="21"/>
      <c r="F87" s="21"/>
      <c r="G87" s="21"/>
      <c r="H87" s="83"/>
      <c r="I87" s="21"/>
      <c r="J87" s="86"/>
      <c r="K87" s="20" t="str">
        <f t="shared" si="2"/>
        <v>-</v>
      </c>
    </row>
    <row r="88" spans="1:11" ht="15" customHeight="1" x14ac:dyDescent="0.25">
      <c r="A88" s="9"/>
      <c r="B88" s="50" t="s">
        <v>137</v>
      </c>
      <c r="C88" s="9"/>
      <c r="D88" s="21"/>
      <c r="E88" s="21"/>
      <c r="F88" s="21"/>
      <c r="G88" s="21"/>
      <c r="H88" s="83"/>
      <c r="I88" s="21"/>
      <c r="J88" s="86"/>
      <c r="K88" s="20" t="str">
        <f t="shared" si="2"/>
        <v>-</v>
      </c>
    </row>
    <row r="89" spans="1:11" ht="15" customHeight="1" x14ac:dyDescent="0.25">
      <c r="A89" s="9"/>
      <c r="B89" s="50" t="s">
        <v>133</v>
      </c>
      <c r="C89" s="9" t="s">
        <v>138</v>
      </c>
      <c r="D89" s="62"/>
      <c r="E89" s="62"/>
      <c r="F89" s="62"/>
      <c r="G89" s="62"/>
      <c r="H89" s="83"/>
      <c r="I89" s="62"/>
      <c r="J89" s="86"/>
      <c r="K89" s="20" t="str">
        <f t="shared" si="2"/>
        <v>-</v>
      </c>
    </row>
    <row r="90" spans="1:11" ht="15" customHeight="1" x14ac:dyDescent="0.25">
      <c r="A90" s="9"/>
      <c r="B90" s="50" t="s">
        <v>134</v>
      </c>
      <c r="C90" s="9" t="s">
        <v>138</v>
      </c>
      <c r="D90" s="62"/>
      <c r="E90" s="62"/>
      <c r="F90" s="62"/>
      <c r="G90" s="62"/>
      <c r="H90" s="83"/>
      <c r="I90" s="62"/>
      <c r="J90" s="86"/>
      <c r="K90" s="20" t="str">
        <f t="shared" si="2"/>
        <v>-</v>
      </c>
    </row>
    <row r="91" spans="1:11" ht="15" customHeight="1" x14ac:dyDescent="0.25">
      <c r="A91" s="9"/>
      <c r="B91" s="50" t="s">
        <v>135</v>
      </c>
      <c r="C91" s="9" t="s">
        <v>138</v>
      </c>
      <c r="D91" s="62">
        <f>350.8/104.852</f>
        <v>3.3456681799107315</v>
      </c>
      <c r="E91" s="62">
        <f>282.11/89.65</f>
        <v>3.1467930842163971</v>
      </c>
      <c r="F91" s="62">
        <f>363.5/104.852</f>
        <v>3.4667912867661084</v>
      </c>
      <c r="G91" s="62">
        <f>370.58/97.58833</f>
        <v>3.7973802810233557</v>
      </c>
      <c r="H91" s="83"/>
      <c r="I91" s="62">
        <f>F91*1.08</f>
        <v>3.7441345897073974</v>
      </c>
      <c r="J91" s="86"/>
      <c r="K91" s="20">
        <f t="shared" si="2"/>
        <v>1.08</v>
      </c>
    </row>
    <row r="92" spans="1:11" ht="15" customHeight="1" x14ac:dyDescent="0.25">
      <c r="A92" s="9"/>
      <c r="B92" s="50" t="s">
        <v>136</v>
      </c>
      <c r="C92" s="9" t="s">
        <v>138</v>
      </c>
      <c r="D92" s="62"/>
      <c r="E92" s="62"/>
      <c r="F92" s="62"/>
      <c r="G92" s="62"/>
      <c r="H92" s="84"/>
      <c r="I92" s="62"/>
      <c r="J92" s="87"/>
      <c r="K92" s="20" t="str">
        <f t="shared" si="2"/>
        <v>-</v>
      </c>
    </row>
    <row r="93" spans="1:11" ht="15" customHeight="1" x14ac:dyDescent="0.25">
      <c r="A93" s="9" t="s">
        <v>139</v>
      </c>
      <c r="B93" s="28" t="s">
        <v>140</v>
      </c>
      <c r="C93" s="9" t="s">
        <v>36</v>
      </c>
      <c r="D93" s="17">
        <f>D94*D95/1000</f>
        <v>0</v>
      </c>
      <c r="E93" s="17">
        <f>E94*E95/1000</f>
        <v>0</v>
      </c>
      <c r="F93" s="17">
        <f>F94*F95/1000</f>
        <v>0</v>
      </c>
      <c r="G93" s="17">
        <f>G94*G95/1000</f>
        <v>0</v>
      </c>
      <c r="H93" s="18"/>
      <c r="I93" s="17">
        <f>I94*I95/1000</f>
        <v>0</v>
      </c>
      <c r="J93" s="19"/>
      <c r="K93" s="20" t="str">
        <f t="shared" si="2"/>
        <v>-</v>
      </c>
    </row>
    <row r="94" spans="1:11" ht="15" customHeight="1" x14ac:dyDescent="0.25">
      <c r="A94" s="9"/>
      <c r="B94" s="41" t="s">
        <v>141</v>
      </c>
      <c r="C94" s="9" t="s">
        <v>142</v>
      </c>
      <c r="D94" s="21"/>
      <c r="E94" s="21"/>
      <c r="F94" s="21"/>
      <c r="G94" s="21"/>
      <c r="H94" s="18"/>
      <c r="I94" s="21"/>
      <c r="J94" s="19"/>
      <c r="K94" s="20" t="str">
        <f t="shared" si="2"/>
        <v>-</v>
      </c>
    </row>
    <row r="95" spans="1:11" ht="15" customHeight="1" x14ac:dyDescent="0.25">
      <c r="A95" s="9"/>
      <c r="B95" s="41" t="s">
        <v>143</v>
      </c>
      <c r="C95" s="7" t="s">
        <v>144</v>
      </c>
      <c r="D95" s="21"/>
      <c r="E95" s="21"/>
      <c r="F95" s="21"/>
      <c r="G95" s="21"/>
      <c r="H95" s="18"/>
      <c r="I95" s="21"/>
      <c r="J95" s="19"/>
      <c r="K95" s="20" t="str">
        <f t="shared" si="2"/>
        <v>-</v>
      </c>
    </row>
    <row r="96" spans="1:11" ht="40.5" customHeight="1" x14ac:dyDescent="0.25">
      <c r="A96" s="9" t="s">
        <v>145</v>
      </c>
      <c r="B96" s="50" t="s">
        <v>146</v>
      </c>
      <c r="C96" s="16" t="s">
        <v>147</v>
      </c>
      <c r="D96" s="17">
        <f>D83/D10</f>
        <v>1.023996312316336</v>
      </c>
      <c r="E96" s="17">
        <f>E83/E10</f>
        <v>1.145222957600563</v>
      </c>
      <c r="F96" s="17">
        <f>F83/F10</f>
        <v>1.023996312316336</v>
      </c>
      <c r="G96" s="17">
        <f>G83/G10</f>
        <v>1.245662074214839</v>
      </c>
      <c r="I96" s="17">
        <f>F96</f>
        <v>1.023996312316336</v>
      </c>
      <c r="J96" s="63"/>
      <c r="K96" s="20">
        <f>IF(AND(F96&gt;0, I96&gt;0),I96/F96,"-")</f>
        <v>1</v>
      </c>
    </row>
    <row r="97" spans="1:11" ht="15" customHeight="1" x14ac:dyDescent="0.25">
      <c r="A97" s="9" t="s">
        <v>15</v>
      </c>
      <c r="B97" s="15" t="s">
        <v>148</v>
      </c>
      <c r="C97" s="16" t="s">
        <v>36</v>
      </c>
      <c r="D97" s="17">
        <f>ROUND(D98,1)+ROUND(D117,1)+ROUND(D126,1)+ROUND(D127,1)+ROUND(D128,1)+ROUND(D129,1)+ROUND(D130,1)+ROUND(D131,1)</f>
        <v>733.9</v>
      </c>
      <c r="E97" s="17">
        <f>ROUND(E98,1)+ROUND(E117,1)+ROUND(E126,1)+ROUND(E127,1)+ROUND(E128,1)+ROUND(E129,1)+ROUND(E130,1)+ROUND(E131,1)</f>
        <v>791</v>
      </c>
      <c r="F97" s="17">
        <f>ROUND(F98,1)+ROUND(F117,1)+ROUND(F126,1)+ROUND(F127,1)+ROUND(F128,1)+ROUND(F129,1)+ROUND(F130,1)+ROUND(F131,1)</f>
        <v>576</v>
      </c>
      <c r="G97" s="17">
        <f>ROUND(G98,1)+ROUND(G117,1)+ROUND(G126,1)+ROUND(G127,1)+ROUND(G128,1)+ROUND(G129,1)+ROUND(G130,1)+ROUND(G131,1)</f>
        <v>1447.3</v>
      </c>
      <c r="H97" s="18"/>
      <c r="I97" s="17">
        <f>ROUND(I98,1)+ROUND(I117,1)+ROUND(I126,1)+ROUND(I127,1)+ROUND(I128,1)+ROUND(I129,1)+ROUND(I130,1)+ROUND(I131,1)</f>
        <v>995.9</v>
      </c>
      <c r="J97" s="19"/>
      <c r="K97" s="20">
        <f t="shared" si="2"/>
        <v>1.7289930555555555</v>
      </c>
    </row>
    <row r="98" spans="1:11" ht="49.5" customHeight="1" x14ac:dyDescent="0.25">
      <c r="A98" s="9" t="s">
        <v>17</v>
      </c>
      <c r="B98" s="15" t="s">
        <v>149</v>
      </c>
      <c r="C98" s="9" t="s">
        <v>36</v>
      </c>
      <c r="D98" s="21">
        <f>D99+D102+D105+D108+D111+D114</f>
        <v>733.93020100000001</v>
      </c>
      <c r="E98" s="21">
        <f>E99+E102+E105+E108+E111+E114</f>
        <v>0</v>
      </c>
      <c r="F98" s="21">
        <f>F99+F102+F105+F108+F111+F114</f>
        <v>875.51439800000003</v>
      </c>
      <c r="G98" s="21">
        <f>G99+G102+G105+G108+G111+G114</f>
        <v>1223.5029970000001</v>
      </c>
      <c r="H98" s="18"/>
      <c r="I98" s="21">
        <f>I99+I102+I105+I108+I111+I114</f>
        <v>995.89259886191803</v>
      </c>
      <c r="J98" s="19"/>
      <c r="K98" s="20">
        <f t="shared" si="2"/>
        <v>1.1374942561046473</v>
      </c>
    </row>
    <row r="99" spans="1:11" ht="15" customHeight="1" x14ac:dyDescent="0.25">
      <c r="A99" s="9" t="s">
        <v>150</v>
      </c>
      <c r="B99" s="23" t="s">
        <v>151</v>
      </c>
      <c r="C99" s="9" t="s">
        <v>36</v>
      </c>
      <c r="D99" s="21">
        <f>D100*D101/1000</f>
        <v>732.75216399999999</v>
      </c>
      <c r="E99" s="21"/>
      <c r="F99" s="21">
        <f>F100*F101/1000</f>
        <v>874.23927800000001</v>
      </c>
      <c r="G99" s="21">
        <f>G100*G101/1000</f>
        <v>1222.06</v>
      </c>
      <c r="H99" s="18"/>
      <c r="I99" s="21">
        <f>I100*I101/1000</f>
        <v>994.43012600000009</v>
      </c>
      <c r="J99" s="19"/>
      <c r="K99" s="20">
        <f t="shared" si="2"/>
        <v>1.1374804942131644</v>
      </c>
    </row>
    <row r="100" spans="1:11" ht="15" customHeight="1" x14ac:dyDescent="0.25">
      <c r="A100" s="9"/>
      <c r="B100" s="50" t="s">
        <v>152</v>
      </c>
      <c r="C100" s="9" t="s">
        <v>153</v>
      </c>
      <c r="D100" s="21">
        <v>249.4</v>
      </c>
      <c r="E100" s="21"/>
      <c r="F100" s="21">
        <v>249.4</v>
      </c>
      <c r="G100" s="21">
        <v>249.4</v>
      </c>
      <c r="H100" s="18"/>
      <c r="I100" s="21">
        <v>249.4</v>
      </c>
      <c r="J100" s="19"/>
      <c r="K100" s="20">
        <f t="shared" si="2"/>
        <v>1</v>
      </c>
    </row>
    <row r="101" spans="1:11" ht="36" customHeight="1" x14ac:dyDescent="0.25">
      <c r="A101" s="9"/>
      <c r="B101" s="50" t="s">
        <v>154</v>
      </c>
      <c r="C101" s="9" t="s">
        <v>155</v>
      </c>
      <c r="D101" s="21">
        <v>2938.06</v>
      </c>
      <c r="E101" s="21"/>
      <c r="F101" s="72">
        <v>3505.37</v>
      </c>
      <c r="G101" s="21">
        <v>4900</v>
      </c>
      <c r="H101" s="18"/>
      <c r="I101" s="21">
        <v>3987.29</v>
      </c>
      <c r="J101" s="75" t="s">
        <v>238</v>
      </c>
      <c r="K101" s="20">
        <f t="shared" si="2"/>
        <v>1.1374804942131644</v>
      </c>
    </row>
    <row r="102" spans="1:11" ht="15" customHeight="1" x14ac:dyDescent="0.25">
      <c r="A102" s="9" t="s">
        <v>156</v>
      </c>
      <c r="B102" s="23" t="s">
        <v>157</v>
      </c>
      <c r="C102" s="9" t="s">
        <v>36</v>
      </c>
      <c r="D102" s="21"/>
      <c r="E102" s="21"/>
      <c r="F102" s="21"/>
      <c r="G102" s="21"/>
      <c r="H102" s="18"/>
      <c r="I102" s="21"/>
      <c r="J102" s="19"/>
      <c r="K102" s="20" t="str">
        <f t="shared" si="2"/>
        <v>-</v>
      </c>
    </row>
    <row r="103" spans="1:11" ht="15" customHeight="1" x14ac:dyDescent="0.25">
      <c r="A103" s="9"/>
      <c r="B103" s="50" t="s">
        <v>158</v>
      </c>
      <c r="C103" s="9" t="s">
        <v>10</v>
      </c>
      <c r="D103" s="21"/>
      <c r="E103" s="21"/>
      <c r="F103" s="21"/>
      <c r="G103" s="21"/>
      <c r="H103" s="18"/>
      <c r="I103" s="21"/>
      <c r="J103" s="19"/>
      <c r="K103" s="20" t="str">
        <f t="shared" si="2"/>
        <v>-</v>
      </c>
    </row>
    <row r="104" spans="1:11" ht="15" customHeight="1" x14ac:dyDescent="0.25">
      <c r="A104" s="9"/>
      <c r="B104" s="50" t="s">
        <v>159</v>
      </c>
      <c r="C104" s="9" t="s">
        <v>160</v>
      </c>
      <c r="D104" s="21"/>
      <c r="E104" s="21"/>
      <c r="F104" s="21"/>
      <c r="G104" s="21"/>
      <c r="H104" s="18"/>
      <c r="I104" s="21"/>
      <c r="J104" s="19"/>
      <c r="K104" s="20" t="str">
        <f t="shared" si="2"/>
        <v>-</v>
      </c>
    </row>
    <row r="105" spans="1:11" ht="15" customHeight="1" x14ac:dyDescent="0.25">
      <c r="A105" s="9" t="s">
        <v>161</v>
      </c>
      <c r="B105" s="23" t="s">
        <v>162</v>
      </c>
      <c r="C105" s="9" t="s">
        <v>36</v>
      </c>
      <c r="D105" s="21"/>
      <c r="E105" s="21"/>
      <c r="F105" s="21"/>
      <c r="G105" s="21"/>
      <c r="H105" s="18"/>
      <c r="I105" s="21"/>
      <c r="J105" s="19"/>
      <c r="K105" s="20" t="str">
        <f t="shared" si="2"/>
        <v>-</v>
      </c>
    </row>
    <row r="106" spans="1:11" ht="15" customHeight="1" x14ac:dyDescent="0.25">
      <c r="A106" s="9"/>
      <c r="B106" s="50" t="s">
        <v>163</v>
      </c>
      <c r="C106" s="9" t="s">
        <v>10</v>
      </c>
      <c r="D106" s="21"/>
      <c r="E106" s="21"/>
      <c r="F106" s="21"/>
      <c r="G106" s="21"/>
      <c r="H106" s="18"/>
      <c r="I106" s="21"/>
      <c r="J106" s="19"/>
      <c r="K106" s="20" t="str">
        <f t="shared" si="2"/>
        <v>-</v>
      </c>
    </row>
    <row r="107" spans="1:11" ht="15" customHeight="1" x14ac:dyDescent="0.25">
      <c r="A107" s="9"/>
      <c r="B107" s="50" t="s">
        <v>164</v>
      </c>
      <c r="C107" s="9" t="s">
        <v>160</v>
      </c>
      <c r="D107" s="21"/>
      <c r="E107" s="21"/>
      <c r="F107" s="21"/>
      <c r="G107" s="21"/>
      <c r="H107" s="18"/>
      <c r="I107" s="21"/>
      <c r="J107" s="19"/>
      <c r="K107" s="20" t="str">
        <f t="shared" si="2"/>
        <v>-</v>
      </c>
    </row>
    <row r="108" spans="1:11" ht="15" customHeight="1" x14ac:dyDescent="0.25">
      <c r="A108" s="9" t="s">
        <v>165</v>
      </c>
      <c r="B108" s="23" t="s">
        <v>166</v>
      </c>
      <c r="C108" s="9" t="s">
        <v>36</v>
      </c>
      <c r="D108" s="21">
        <f>D109*D110/1000</f>
        <v>1.1780369999999998</v>
      </c>
      <c r="E108" s="21"/>
      <c r="F108" s="21">
        <f>F109*F110/1000</f>
        <v>1.2751199999999998</v>
      </c>
      <c r="G108" s="21">
        <f>G109*G110/1000</f>
        <v>1.4429969999999999</v>
      </c>
      <c r="H108" s="18"/>
      <c r="I108" s="21">
        <f>I109*I110/1000</f>
        <v>1.4624728619179079</v>
      </c>
      <c r="J108" s="19"/>
      <c r="K108" s="20">
        <f t="shared" si="2"/>
        <v>1.1469295924445606</v>
      </c>
    </row>
    <row r="109" spans="1:11" ht="15" customHeight="1" x14ac:dyDescent="0.25">
      <c r="A109" s="9"/>
      <c r="B109" s="50" t="s">
        <v>167</v>
      </c>
      <c r="C109" s="9" t="s">
        <v>10</v>
      </c>
      <c r="D109" s="21">
        <v>20.7</v>
      </c>
      <c r="E109" s="21"/>
      <c r="F109" s="21">
        <v>20.7</v>
      </c>
      <c r="G109" s="21">
        <v>20.7</v>
      </c>
      <c r="H109" s="18"/>
      <c r="I109" s="21">
        <v>20.7</v>
      </c>
      <c r="J109" s="19"/>
      <c r="K109" s="20">
        <f t="shared" si="2"/>
        <v>1</v>
      </c>
    </row>
    <row r="110" spans="1:11" ht="15" customHeight="1" x14ac:dyDescent="0.25">
      <c r="A110" s="9"/>
      <c r="B110" s="50" t="s">
        <v>168</v>
      </c>
      <c r="C110" s="9" t="s">
        <v>160</v>
      </c>
      <c r="D110" s="21">
        <v>56.91</v>
      </c>
      <c r="E110" s="21"/>
      <c r="F110" s="72">
        <v>61.6</v>
      </c>
      <c r="G110" s="21">
        <v>69.709999999999994</v>
      </c>
      <c r="H110" s="18"/>
      <c r="I110" s="21">
        <f>'[1]ХВС корр-ка 2023 года'!$I$153</f>
        <v>70.650862894584932</v>
      </c>
      <c r="J110" s="19"/>
      <c r="K110" s="20">
        <f t="shared" si="2"/>
        <v>1.1469295924445606</v>
      </c>
    </row>
    <row r="111" spans="1:11" ht="15" customHeight="1" x14ac:dyDescent="0.25">
      <c r="A111" s="9" t="s">
        <v>169</v>
      </c>
      <c r="B111" s="23" t="s">
        <v>170</v>
      </c>
      <c r="C111" s="9" t="s">
        <v>36</v>
      </c>
      <c r="D111" s="21"/>
      <c r="E111" s="21"/>
      <c r="F111" s="21"/>
      <c r="G111" s="21"/>
      <c r="H111" s="18"/>
      <c r="I111" s="21"/>
      <c r="J111" s="19"/>
      <c r="K111" s="20" t="str">
        <f t="shared" si="2"/>
        <v>-</v>
      </c>
    </row>
    <row r="112" spans="1:11" ht="15" customHeight="1" x14ac:dyDescent="0.25">
      <c r="A112" s="9"/>
      <c r="B112" s="50" t="s">
        <v>171</v>
      </c>
      <c r="C112" s="9" t="s">
        <v>10</v>
      </c>
      <c r="D112" s="21"/>
      <c r="E112" s="21"/>
      <c r="F112" s="21"/>
      <c r="G112" s="21"/>
      <c r="H112" s="18"/>
      <c r="I112" s="21"/>
      <c r="J112" s="19"/>
      <c r="K112" s="20" t="str">
        <f t="shared" si="2"/>
        <v>-</v>
      </c>
    </row>
    <row r="113" spans="1:11" ht="15" customHeight="1" x14ac:dyDescent="0.25">
      <c r="A113" s="9"/>
      <c r="B113" s="50" t="s">
        <v>172</v>
      </c>
      <c r="C113" s="9" t="s">
        <v>160</v>
      </c>
      <c r="D113" s="21"/>
      <c r="E113" s="21"/>
      <c r="F113" s="21"/>
      <c r="G113" s="21"/>
      <c r="H113" s="18"/>
      <c r="I113" s="21"/>
      <c r="J113" s="19"/>
      <c r="K113" s="20" t="str">
        <f t="shared" si="2"/>
        <v>-</v>
      </c>
    </row>
    <row r="114" spans="1:11" ht="15" customHeight="1" x14ac:dyDescent="0.25">
      <c r="A114" s="9" t="s">
        <v>173</v>
      </c>
      <c r="B114" s="23" t="s">
        <v>174</v>
      </c>
      <c r="C114" s="9" t="s">
        <v>36</v>
      </c>
      <c r="D114" s="21"/>
      <c r="E114" s="21"/>
      <c r="F114" s="21"/>
      <c r="G114" s="21"/>
      <c r="H114" s="18"/>
      <c r="I114" s="21"/>
      <c r="J114" s="19"/>
      <c r="K114" s="20" t="str">
        <f t="shared" si="2"/>
        <v>-</v>
      </c>
    </row>
    <row r="115" spans="1:11" ht="15" customHeight="1" x14ac:dyDescent="0.25">
      <c r="A115" s="9"/>
      <c r="B115" s="50" t="s">
        <v>175</v>
      </c>
      <c r="C115" s="9" t="s">
        <v>10</v>
      </c>
      <c r="D115" s="21"/>
      <c r="E115" s="21"/>
      <c r="F115" s="21"/>
      <c r="G115" s="21"/>
      <c r="H115" s="18"/>
      <c r="I115" s="21"/>
      <c r="J115" s="19"/>
      <c r="K115" s="20" t="str">
        <f t="shared" si="2"/>
        <v>-</v>
      </c>
    </row>
    <row r="116" spans="1:11" ht="15" customHeight="1" x14ac:dyDescent="0.25">
      <c r="A116" s="9"/>
      <c r="B116" s="50" t="s">
        <v>176</v>
      </c>
      <c r="C116" s="9" t="s">
        <v>160</v>
      </c>
      <c r="D116" s="21"/>
      <c r="E116" s="21"/>
      <c r="F116" s="21"/>
      <c r="G116" s="21"/>
      <c r="H116" s="18"/>
      <c r="I116" s="21"/>
      <c r="J116" s="19"/>
      <c r="K116" s="20" t="str">
        <f t="shared" si="2"/>
        <v>-</v>
      </c>
    </row>
    <row r="117" spans="1:11" ht="28.5" customHeight="1" x14ac:dyDescent="0.25">
      <c r="A117" s="9" t="s">
        <v>19</v>
      </c>
      <c r="B117" s="15" t="s">
        <v>177</v>
      </c>
      <c r="C117" s="16" t="s">
        <v>36</v>
      </c>
      <c r="D117" s="17">
        <f t="shared" ref="D117:I117" si="3">ROUND(D118,1)+ROUND(D119,1)+ROUND(D120,1)+ROUND(D121,1)+ROUND(D122,1)+ROUND(D123,1)+ROUND(D124,1)</f>
        <v>0</v>
      </c>
      <c r="E117" s="17">
        <f t="shared" si="3"/>
        <v>791</v>
      </c>
      <c r="F117" s="17">
        <f>ROUND(F118,1)+ROUND(F119,1)+ROUND(F120,1)+ROUND(F121,1)+ROUND(F122,1)+ROUND(F123,1)+ROUND(F124,1)</f>
        <v>0</v>
      </c>
      <c r="G117" s="17">
        <f>ROUND(G118,1)+ROUND(G119,1)+ROUND(G120,1)+ROUND(G121,1)+ROUND(G122,1)+ROUND(G123,1)+ROUND(G124,1)</f>
        <v>97.3</v>
      </c>
      <c r="H117" s="18"/>
      <c r="I117" s="17">
        <f t="shared" si="3"/>
        <v>0</v>
      </c>
      <c r="J117" s="19"/>
      <c r="K117" s="20" t="str">
        <f t="shared" si="2"/>
        <v>-</v>
      </c>
    </row>
    <row r="118" spans="1:11" ht="15" customHeight="1" x14ac:dyDescent="0.25">
      <c r="A118" s="9" t="s">
        <v>178</v>
      </c>
      <c r="B118" s="23" t="s">
        <v>179</v>
      </c>
      <c r="C118" s="9" t="s">
        <v>36</v>
      </c>
      <c r="D118" s="21"/>
      <c r="E118" s="21"/>
      <c r="F118" s="21"/>
      <c r="G118" s="21">
        <v>97.31</v>
      </c>
      <c r="H118" s="18" t="s">
        <v>245</v>
      </c>
      <c r="I118" s="21"/>
      <c r="J118" s="19"/>
      <c r="K118" s="20" t="str">
        <f t="shared" si="2"/>
        <v>-</v>
      </c>
    </row>
    <row r="119" spans="1:11" ht="15" customHeight="1" x14ac:dyDescent="0.25">
      <c r="A119" s="9" t="s">
        <v>180</v>
      </c>
      <c r="B119" s="23" t="s">
        <v>181</v>
      </c>
      <c r="C119" s="9" t="s">
        <v>36</v>
      </c>
      <c r="D119" s="21"/>
      <c r="E119" s="21"/>
      <c r="F119" s="21"/>
      <c r="G119" s="21"/>
      <c r="H119" s="18"/>
      <c r="I119" s="21"/>
      <c r="J119" s="19"/>
      <c r="K119" s="20" t="str">
        <f t="shared" si="2"/>
        <v>-</v>
      </c>
    </row>
    <row r="120" spans="1:11" ht="15" customHeight="1" x14ac:dyDescent="0.25">
      <c r="A120" s="9" t="s">
        <v>182</v>
      </c>
      <c r="B120" s="23" t="s">
        <v>183</v>
      </c>
      <c r="C120" s="9" t="s">
        <v>36</v>
      </c>
      <c r="D120" s="21"/>
      <c r="E120" s="21"/>
      <c r="F120" s="21"/>
      <c r="G120" s="21"/>
      <c r="H120" s="18"/>
      <c r="I120" s="21"/>
      <c r="J120" s="19"/>
      <c r="K120" s="20" t="str">
        <f t="shared" si="2"/>
        <v>-</v>
      </c>
    </row>
    <row r="121" spans="1:11" ht="15" customHeight="1" x14ac:dyDescent="0.25">
      <c r="A121" s="9" t="s">
        <v>184</v>
      </c>
      <c r="B121" s="23" t="s">
        <v>185</v>
      </c>
      <c r="C121" s="9" t="s">
        <v>36</v>
      </c>
      <c r="D121" s="21"/>
      <c r="E121" s="21"/>
      <c r="F121" s="21"/>
      <c r="G121" s="21"/>
      <c r="H121" s="18"/>
      <c r="I121" s="21"/>
      <c r="J121" s="19"/>
      <c r="K121" s="20" t="str">
        <f t="shared" si="2"/>
        <v>-</v>
      </c>
    </row>
    <row r="122" spans="1:11" ht="15" customHeight="1" x14ac:dyDescent="0.25">
      <c r="A122" s="9" t="s">
        <v>186</v>
      </c>
      <c r="B122" s="23" t="s">
        <v>187</v>
      </c>
      <c r="C122" s="9" t="s">
        <v>36</v>
      </c>
      <c r="D122" s="21"/>
      <c r="E122" s="21"/>
      <c r="F122" s="21"/>
      <c r="G122" s="21"/>
      <c r="H122" s="18"/>
      <c r="I122" s="21"/>
      <c r="J122" s="19"/>
      <c r="K122" s="20" t="str">
        <f t="shared" si="2"/>
        <v>-</v>
      </c>
    </row>
    <row r="123" spans="1:11" ht="30.75" customHeight="1" x14ac:dyDescent="0.25">
      <c r="A123" s="9" t="s">
        <v>188</v>
      </c>
      <c r="B123" s="23" t="s">
        <v>189</v>
      </c>
      <c r="C123" s="9" t="s">
        <v>36</v>
      </c>
      <c r="D123" s="21"/>
      <c r="E123" s="21">
        <v>791.04</v>
      </c>
      <c r="F123" s="21"/>
      <c r="G123" s="21"/>
      <c r="H123" s="18"/>
      <c r="I123" s="21"/>
      <c r="J123" s="19"/>
      <c r="K123" s="20" t="str">
        <f t="shared" si="2"/>
        <v>-</v>
      </c>
    </row>
    <row r="124" spans="1:11" ht="15" customHeight="1" x14ac:dyDescent="0.25">
      <c r="A124" s="9" t="s">
        <v>190</v>
      </c>
      <c r="B124" s="23" t="s">
        <v>191</v>
      </c>
      <c r="C124" s="9" t="s">
        <v>36</v>
      </c>
      <c r="D124" s="21">
        <f>D125</f>
        <v>0</v>
      </c>
      <c r="E124" s="21">
        <f>E125</f>
        <v>0</v>
      </c>
      <c r="F124" s="21">
        <f>F125</f>
        <v>0</v>
      </c>
      <c r="G124" s="21">
        <f>G125</f>
        <v>0</v>
      </c>
      <c r="H124" s="18"/>
      <c r="I124" s="21">
        <f>I125</f>
        <v>0</v>
      </c>
      <c r="J124" s="19"/>
      <c r="K124" s="20" t="str">
        <f t="shared" si="2"/>
        <v>-</v>
      </c>
    </row>
    <row r="125" spans="1:11" ht="42" customHeight="1" x14ac:dyDescent="0.25">
      <c r="A125" s="9"/>
      <c r="B125" s="50" t="s">
        <v>192</v>
      </c>
      <c r="C125" s="9" t="s">
        <v>36</v>
      </c>
      <c r="D125" s="21"/>
      <c r="E125" s="21"/>
      <c r="F125" s="21"/>
      <c r="G125" s="21"/>
      <c r="H125" s="18"/>
      <c r="I125" s="21"/>
      <c r="J125" s="19"/>
      <c r="K125" s="20" t="str">
        <f t="shared" si="2"/>
        <v>-</v>
      </c>
    </row>
    <row r="126" spans="1:11" ht="58.5" customHeight="1" x14ac:dyDescent="0.25">
      <c r="A126" s="9" t="s">
        <v>21</v>
      </c>
      <c r="B126" s="15" t="s">
        <v>193</v>
      </c>
      <c r="C126" s="9" t="s">
        <v>36</v>
      </c>
      <c r="D126" s="21"/>
      <c r="E126" s="21"/>
      <c r="F126" s="21"/>
      <c r="G126" s="21"/>
      <c r="H126" s="18"/>
      <c r="I126" s="21"/>
      <c r="J126" s="19"/>
      <c r="K126" s="20" t="str">
        <f t="shared" si="2"/>
        <v>-</v>
      </c>
    </row>
    <row r="127" spans="1:11" ht="46.5" customHeight="1" x14ac:dyDescent="0.25">
      <c r="A127" s="60" t="s">
        <v>194</v>
      </c>
      <c r="B127" s="15" t="s">
        <v>195</v>
      </c>
      <c r="C127" s="9" t="s">
        <v>36</v>
      </c>
      <c r="D127" s="21"/>
      <c r="E127" s="21"/>
      <c r="F127" s="21"/>
      <c r="G127" s="21"/>
      <c r="H127" s="18"/>
      <c r="I127" s="21"/>
      <c r="J127" s="19"/>
      <c r="K127" s="20" t="str">
        <f t="shared" si="2"/>
        <v>-</v>
      </c>
    </row>
    <row r="128" spans="1:11" ht="45" x14ac:dyDescent="0.25">
      <c r="A128" s="9" t="s">
        <v>196</v>
      </c>
      <c r="B128" s="15" t="s">
        <v>197</v>
      </c>
      <c r="C128" s="9" t="s">
        <v>36</v>
      </c>
      <c r="D128" s="21"/>
      <c r="E128" s="21"/>
      <c r="F128" s="21">
        <v>-299.5</v>
      </c>
      <c r="G128" s="21"/>
      <c r="H128" s="18"/>
      <c r="I128" s="21"/>
      <c r="J128" s="19"/>
      <c r="K128" s="20" t="str">
        <f t="shared" si="2"/>
        <v>-</v>
      </c>
    </row>
    <row r="129" spans="1:11" ht="18.75" customHeight="1" x14ac:dyDescent="0.25">
      <c r="A129" s="9" t="s">
        <v>198</v>
      </c>
      <c r="B129" s="15" t="s">
        <v>199</v>
      </c>
      <c r="C129" s="9" t="s">
        <v>36</v>
      </c>
      <c r="D129" s="21"/>
      <c r="E129" s="21"/>
      <c r="F129" s="21"/>
      <c r="G129" s="21"/>
      <c r="H129" s="18"/>
      <c r="I129" s="21"/>
      <c r="J129" s="19"/>
      <c r="K129" s="20" t="str">
        <f t="shared" si="2"/>
        <v>-</v>
      </c>
    </row>
    <row r="130" spans="1:11" ht="135.75" customHeight="1" x14ac:dyDescent="0.25">
      <c r="A130" s="9" t="s">
        <v>200</v>
      </c>
      <c r="B130" s="15" t="s">
        <v>201</v>
      </c>
      <c r="C130" s="9" t="s">
        <v>36</v>
      </c>
      <c r="D130" s="21"/>
      <c r="E130" s="21"/>
      <c r="F130" s="21"/>
      <c r="G130" s="21">
        <v>126.5</v>
      </c>
      <c r="H130" s="18" t="s">
        <v>246</v>
      </c>
      <c r="I130" s="21"/>
      <c r="J130" s="19"/>
      <c r="K130" s="20" t="str">
        <f t="shared" si="2"/>
        <v>-</v>
      </c>
    </row>
    <row r="131" spans="1:11" ht="15" customHeight="1" x14ac:dyDescent="0.25">
      <c r="A131" s="9" t="s">
        <v>202</v>
      </c>
      <c r="B131" s="15" t="s">
        <v>203</v>
      </c>
      <c r="C131" s="9" t="s">
        <v>36</v>
      </c>
      <c r="D131" s="21"/>
      <c r="E131" s="21"/>
      <c r="F131" s="21"/>
      <c r="G131" s="21"/>
      <c r="H131" s="18"/>
      <c r="I131" s="21"/>
      <c r="J131" s="19"/>
      <c r="K131" s="20" t="str">
        <f t="shared" si="2"/>
        <v>-</v>
      </c>
    </row>
    <row r="132" spans="1:11" ht="15" customHeight="1" x14ac:dyDescent="0.25">
      <c r="A132" s="9" t="s">
        <v>204</v>
      </c>
      <c r="B132" s="23" t="s">
        <v>205</v>
      </c>
      <c r="C132" s="9" t="s">
        <v>36</v>
      </c>
      <c r="D132" s="21"/>
      <c r="E132" s="21"/>
      <c r="F132" s="21"/>
      <c r="G132" s="21"/>
      <c r="H132" s="18"/>
      <c r="I132" s="21"/>
      <c r="J132" s="19"/>
      <c r="K132" s="20" t="str">
        <f t="shared" si="2"/>
        <v>-</v>
      </c>
    </row>
    <row r="133" spans="1:11" ht="15" customHeight="1" x14ac:dyDescent="0.25">
      <c r="A133" s="9" t="s">
        <v>206</v>
      </c>
      <c r="B133" s="23" t="s">
        <v>207</v>
      </c>
      <c r="C133" s="9" t="s">
        <v>36</v>
      </c>
      <c r="D133" s="21"/>
      <c r="E133" s="21"/>
      <c r="F133" s="21"/>
      <c r="G133" s="21"/>
      <c r="H133" s="18"/>
      <c r="I133" s="21"/>
      <c r="J133" s="19"/>
      <c r="K133" s="20" t="str">
        <f t="shared" si="2"/>
        <v>-</v>
      </c>
    </row>
    <row r="134" spans="1:11" x14ac:dyDescent="0.25">
      <c r="A134" s="9" t="s">
        <v>23</v>
      </c>
      <c r="B134" s="28" t="s">
        <v>208</v>
      </c>
      <c r="C134" s="9" t="s">
        <v>36</v>
      </c>
      <c r="D134" s="21"/>
      <c r="E134" s="21"/>
      <c r="F134" s="21">
        <v>88.1</v>
      </c>
      <c r="G134" s="21">
        <v>176.19</v>
      </c>
      <c r="H134" s="18"/>
      <c r="I134" s="21">
        <v>176.19</v>
      </c>
      <c r="J134" s="19"/>
      <c r="K134" s="20">
        <f t="shared" si="2"/>
        <v>1.9998864926220206</v>
      </c>
    </row>
    <row r="135" spans="1:11" ht="15" customHeight="1" x14ac:dyDescent="0.25">
      <c r="A135" s="9" t="s">
        <v>25</v>
      </c>
      <c r="B135" s="28" t="s">
        <v>209</v>
      </c>
      <c r="C135" s="16" t="s">
        <v>36</v>
      </c>
      <c r="D135" s="17">
        <f>ROUND(D136,1)+ROUND(D137,1)+ROUND(D138,1)</f>
        <v>0</v>
      </c>
      <c r="E135" s="17">
        <f>ROUND(E136,1)+ROUND(E137,1)+ROUND(E138,1)</f>
        <v>0</v>
      </c>
      <c r="F135" s="17">
        <f>ROUND(F136,1)+ROUND(F137,1)+ROUND(F138,1)</f>
        <v>632.5</v>
      </c>
      <c r="G135" s="17">
        <f>ROUND(G136,1)+ROUND(G137,1)+ROUND(G138,1)</f>
        <v>486.6</v>
      </c>
      <c r="H135" s="18"/>
      <c r="I135" s="17">
        <f>ROUND(I136,1)+ROUND(I137,1)+ROUND(I138,1)</f>
        <v>486.6</v>
      </c>
      <c r="J135" s="19"/>
      <c r="K135" s="20">
        <f t="shared" si="2"/>
        <v>0.76932806324110681</v>
      </c>
    </row>
    <row r="136" spans="1:11" ht="48" customHeight="1" x14ac:dyDescent="0.25">
      <c r="A136" s="9" t="s">
        <v>27</v>
      </c>
      <c r="B136" s="15" t="s">
        <v>210</v>
      </c>
      <c r="C136" s="9" t="s">
        <v>36</v>
      </c>
      <c r="D136" s="21"/>
      <c r="E136" s="21"/>
      <c r="F136" s="21">
        <v>632.5</v>
      </c>
      <c r="G136" s="21">
        <v>486.57</v>
      </c>
      <c r="H136" s="18"/>
      <c r="I136" s="21">
        <v>486.57</v>
      </c>
      <c r="J136" s="19"/>
      <c r="K136" s="20">
        <f t="shared" si="2"/>
        <v>0.76928063241106714</v>
      </c>
    </row>
    <row r="137" spans="1:11" ht="109.5" customHeight="1" x14ac:dyDescent="0.25">
      <c r="A137" s="9" t="s">
        <v>29</v>
      </c>
      <c r="B137" s="15" t="s">
        <v>211</v>
      </c>
      <c r="C137" s="9" t="s">
        <v>36</v>
      </c>
      <c r="D137" s="21"/>
      <c r="E137" s="21"/>
      <c r="F137" s="21"/>
      <c r="G137" s="21"/>
      <c r="H137" s="18"/>
      <c r="I137" s="21"/>
      <c r="J137" s="19"/>
      <c r="K137" s="20" t="str">
        <f t="shared" si="2"/>
        <v>-</v>
      </c>
    </row>
    <row r="138" spans="1:11" ht="80.25" customHeight="1" x14ac:dyDescent="0.25">
      <c r="A138" s="9" t="s">
        <v>212</v>
      </c>
      <c r="B138" s="15" t="s">
        <v>213</v>
      </c>
      <c r="C138" s="9" t="s">
        <v>36</v>
      </c>
      <c r="D138" s="21"/>
      <c r="E138" s="21"/>
      <c r="F138" s="21"/>
      <c r="G138" s="21"/>
      <c r="H138" s="18"/>
      <c r="I138" s="21"/>
      <c r="J138" s="19"/>
      <c r="K138" s="20" t="str">
        <f t="shared" ref="K138:K145" si="4">IF(AND(F138&gt;0, I138&gt;0),I138/F138,"-")</f>
        <v>-</v>
      </c>
    </row>
    <row r="139" spans="1:11" ht="30" customHeight="1" x14ac:dyDescent="0.25">
      <c r="A139" s="9" t="s">
        <v>31</v>
      </c>
      <c r="B139" s="15" t="s">
        <v>214</v>
      </c>
      <c r="C139" s="9" t="s">
        <v>36</v>
      </c>
      <c r="D139" s="21"/>
      <c r="E139" s="21"/>
      <c r="F139" s="21"/>
      <c r="G139" s="21"/>
      <c r="H139" s="18"/>
      <c r="I139" s="21"/>
      <c r="J139" s="19"/>
      <c r="K139" s="20" t="str">
        <f t="shared" si="4"/>
        <v>-</v>
      </c>
    </row>
    <row r="140" spans="1:11" ht="67.5" customHeight="1" x14ac:dyDescent="0.25">
      <c r="A140" s="16" t="s">
        <v>122</v>
      </c>
      <c r="B140" s="26" t="s">
        <v>215</v>
      </c>
      <c r="C140" s="9" t="s">
        <v>36</v>
      </c>
      <c r="D140" s="21"/>
      <c r="E140" s="21"/>
      <c r="F140" s="21"/>
      <c r="G140" s="21"/>
      <c r="H140" s="19"/>
      <c r="I140" s="21"/>
      <c r="J140" s="19"/>
      <c r="K140" s="20" t="str">
        <f t="shared" si="4"/>
        <v>-</v>
      </c>
    </row>
    <row r="141" spans="1:11" ht="201.75" customHeight="1" x14ac:dyDescent="0.25">
      <c r="A141" s="16" t="s">
        <v>124</v>
      </c>
      <c r="B141" s="15" t="s">
        <v>216</v>
      </c>
      <c r="C141" s="9" t="s">
        <v>36</v>
      </c>
      <c r="D141" s="21"/>
      <c r="E141" s="21"/>
      <c r="F141" s="21"/>
      <c r="G141" s="21"/>
      <c r="H141" s="19"/>
      <c r="I141" s="21"/>
      <c r="J141" s="19"/>
      <c r="K141" s="20" t="str">
        <f t="shared" si="4"/>
        <v>-</v>
      </c>
    </row>
    <row r="142" spans="1:11" ht="35.25" customHeight="1" x14ac:dyDescent="0.25">
      <c r="A142" s="16" t="s">
        <v>217</v>
      </c>
      <c r="B142" s="15" t="s">
        <v>218</v>
      </c>
      <c r="C142" s="9" t="s">
        <v>36</v>
      </c>
      <c r="D142" s="21"/>
      <c r="E142" s="21"/>
      <c r="F142" s="21"/>
      <c r="G142" s="21"/>
      <c r="H142" s="19"/>
      <c r="I142" s="21"/>
      <c r="J142" s="19"/>
      <c r="K142" s="20" t="str">
        <f t="shared" si="4"/>
        <v>-</v>
      </c>
    </row>
    <row r="143" spans="1:11" ht="83.25" customHeight="1" x14ac:dyDescent="0.25">
      <c r="A143" s="9" t="s">
        <v>219</v>
      </c>
      <c r="B143" s="15" t="s">
        <v>220</v>
      </c>
      <c r="C143" s="9" t="s">
        <v>36</v>
      </c>
      <c r="D143" s="21"/>
      <c r="E143" s="21"/>
      <c r="F143" s="21"/>
      <c r="G143" s="21"/>
      <c r="H143" s="19"/>
      <c r="I143" s="21">
        <f>-408.9-1368.75</f>
        <v>-1777.65</v>
      </c>
      <c r="J143" s="19" t="s">
        <v>250</v>
      </c>
      <c r="K143" s="20" t="str">
        <f t="shared" si="4"/>
        <v>-</v>
      </c>
    </row>
    <row r="144" spans="1:11" ht="37.5" customHeight="1" x14ac:dyDescent="0.25">
      <c r="A144" s="16" t="s">
        <v>221</v>
      </c>
      <c r="B144" s="64" t="str">
        <f>IF(C23="да","Необходимая валовая выручка (без учета НДС)","Необходимая валовая выручка (НДС не облагается)")</f>
        <v>Необходимая валовая выручка (без учета НДС)</v>
      </c>
      <c r="C144" s="16" t="s">
        <v>36</v>
      </c>
      <c r="D144" s="17">
        <f>ROUND(D24,1)+ROUND(D134,1)+ROUND(D135,1)+ROUND(D139,1)+ROUND(D140,1)-ROUND(D141,1)+ROUND(D142,1)+ROUND(D143,1)</f>
        <v>10076.200000000001</v>
      </c>
      <c r="E144" s="17">
        <f>ROUND(E24,1)+ROUND(E134,1)+ROUND(E135,1)+ROUND(E139,1)+ROUND(E140,1)-ROUND(E141,1)+ROUND(E142,1)+ROUND(E143,1)</f>
        <v>10504</v>
      </c>
      <c r="F144" s="17">
        <f>ROUND(F24,1)+ROUND(F134,1)+ROUND(F135,1)+ROUND(F139,1)+ROUND(F140,1)-ROUND(F141,1)+ROUND(F142,1)+ROUND(F143,1)</f>
        <v>10941.9</v>
      </c>
      <c r="G144" s="17">
        <f>ROUND(G24,1)+ROUND(G134,1)+ROUND(G135,1)+ROUND(G139,1)+ROUND(G140,1)-ROUND(G141,1)+ROUND(G142,1)+ROUND(G143,1)</f>
        <v>12434.800000000001</v>
      </c>
      <c r="H144" s="19" t="s">
        <v>222</v>
      </c>
      <c r="I144" s="17">
        <f>ROUND(I24,1)+ROUND(I134,1)+ROUND(I135,1)+ROUND(I139,1)+ROUND(I140,1)-ROUND(I141,1)+ROUND(I142,1)+ROUND(I143,1)</f>
        <v>9986.5</v>
      </c>
      <c r="J144" s="19" t="s">
        <v>222</v>
      </c>
      <c r="K144" s="20">
        <f t="shared" si="4"/>
        <v>0.91268426872846586</v>
      </c>
    </row>
    <row r="145" spans="1:11" ht="66" customHeight="1" x14ac:dyDescent="0.25">
      <c r="A145" s="16" t="s">
        <v>223</v>
      </c>
      <c r="B145" s="65" t="str">
        <f>IF(C23="да","Тариф (без учета НДС)","Тариф (НДС не облагается)")</f>
        <v>Тариф (без учета НДС)</v>
      </c>
      <c r="C145" s="42" t="s">
        <v>160</v>
      </c>
      <c r="D145" s="66">
        <f>ROUND(D144,1)/ROUND(D13,1)*1000</f>
        <v>98.42528530165346</v>
      </c>
      <c r="E145" s="66">
        <f>ROUND(E144,1)/ROUND(E13,1)*1000</f>
        <v>134.18206298534651</v>
      </c>
      <c r="F145" s="66">
        <f>ROUND(F144,1)/ROUND(F13,1)*1000</f>
        <v>106.8815256983944</v>
      </c>
      <c r="G145" s="66">
        <f>ROUND(G144,1)/ROUND(G13,1)*1000</f>
        <v>158.84683137949227</v>
      </c>
      <c r="H145" s="19" t="s">
        <v>224</v>
      </c>
      <c r="I145" s="66">
        <f>ROUND(I144,1)/ROUND(I13,1)*1000</f>
        <v>119.49004498899205</v>
      </c>
      <c r="J145" s="19" t="s">
        <v>224</v>
      </c>
      <c r="K145" s="20">
        <f t="shared" si="4"/>
        <v>1.1179672465209491</v>
      </c>
    </row>
    <row r="146" spans="1:11" ht="15" customHeight="1" x14ac:dyDescent="0.25">
      <c r="A146" s="16" t="s">
        <v>225</v>
      </c>
      <c r="B146" s="64" t="s">
        <v>226</v>
      </c>
      <c r="C146" s="16" t="s">
        <v>41</v>
      </c>
      <c r="D146" s="48"/>
      <c r="E146" s="48"/>
      <c r="F146" s="48">
        <f>F145/D145</f>
        <v>1.0859153252218094</v>
      </c>
      <c r="G146" s="48">
        <f>G145/F145</f>
        <v>1.4861953957107343</v>
      </c>
      <c r="H146" s="26"/>
      <c r="I146" s="48">
        <f>I145/F145</f>
        <v>1.1179672465209491</v>
      </c>
      <c r="J146" s="27"/>
      <c r="K146" s="20"/>
    </row>
    <row r="150" spans="1:11" ht="18.75" x14ac:dyDescent="0.3">
      <c r="A150" s="67" t="s">
        <v>227</v>
      </c>
      <c r="B150" s="67"/>
      <c r="J150" s="68" t="s">
        <v>249</v>
      </c>
    </row>
  </sheetData>
  <sheetProtection formatCells="0" formatColumns="0" formatRows="0" insertColumns="0" insertRows="0" insertHyperlinks="0" deleteColumns="0" deleteRows="0" sort="0" autoFilter="0" pivotTables="0"/>
  <mergeCells count="16">
    <mergeCell ref="D1:I1"/>
    <mergeCell ref="A7:A8"/>
    <mergeCell ref="B7:B8"/>
    <mergeCell ref="C7:C8"/>
    <mergeCell ref="D7:E7"/>
    <mergeCell ref="H7:H8"/>
    <mergeCell ref="A3:M3"/>
    <mergeCell ref="A4:J4"/>
    <mergeCell ref="A5:J5"/>
    <mergeCell ref="H13:H21"/>
    <mergeCell ref="H82:H92"/>
    <mergeCell ref="J82:J92"/>
    <mergeCell ref="K7:K8"/>
    <mergeCell ref="J28:J29"/>
    <mergeCell ref="J7:J8"/>
    <mergeCell ref="J13:J20"/>
  </mergeCells>
  <conditionalFormatting sqref="J96">
    <cfRule type="cellIs" dxfId="0" priority="1" stopIfTrue="1" operator="equal">
      <formula>"ОШИБКА! Объем покупной электроэнергии, учтенный при корректировке тарифа, не соответствует утвержденному долгосрочному параметру"</formula>
    </cfRule>
  </conditionalFormatting>
  <dataValidations count="1">
    <dataValidation type="list" allowBlank="1" showInputMessage="1" showErrorMessage="1" sqref="C23 IY23 SU23 ACQ23 AMM23 AWI23 BGE23 BQA23 BZW23 CJS23 CTO23 DDK23 DNG23 DXC23 EGY23 EQU23 FAQ23 FKM23 FUI23 GEE23 GOA23 GXW23 HHS23 HRO23 IBK23 ILG23 IVC23 JEY23 JOU23 JYQ23 KIM23 KSI23 LCE23 LMA23 LVW23 MFS23 MPO23 MZK23 NJG23 NTC23 OCY23 OMU23 OWQ23 PGM23 PQI23 QAE23 QKA23 QTW23 RDS23 RNO23 RXK23 SHG23 SRC23 TAY23 TKU23 TUQ23 UEM23 UOI23 UYE23 VIA23 VRW23 WBS23 WLO23 WVK23 C65546 IY65546 SU65546 ACQ65546 AMM65546 AWI65546 BGE65546 BQA65546 BZW65546 CJS65546 CTO65546 DDK65546 DNG65546 DXC65546 EGY65546 EQU65546 FAQ65546 FKM65546 FUI65546 GEE65546 GOA65546 GXW65546 HHS65546 HRO65546 IBK65546 ILG65546 IVC65546 JEY65546 JOU65546 JYQ65546 KIM65546 KSI65546 LCE65546 LMA65546 LVW65546 MFS65546 MPO65546 MZK65546 NJG65546 NTC65546 OCY65546 OMU65546 OWQ65546 PGM65546 PQI65546 QAE65546 QKA65546 QTW65546 RDS65546 RNO65546 RXK65546 SHG65546 SRC65546 TAY65546 TKU65546 TUQ65546 UEM65546 UOI65546 UYE65546 VIA65546 VRW65546 WBS65546 WLO65546 WVK65546 C131082 IY131082 SU131082 ACQ131082 AMM131082 AWI131082 BGE131082 BQA131082 BZW131082 CJS131082 CTO131082 DDK131082 DNG131082 DXC131082 EGY131082 EQU131082 FAQ131082 FKM131082 FUI131082 GEE131082 GOA131082 GXW131082 HHS131082 HRO131082 IBK131082 ILG131082 IVC131082 JEY131082 JOU131082 JYQ131082 KIM131082 KSI131082 LCE131082 LMA131082 LVW131082 MFS131082 MPO131082 MZK131082 NJG131082 NTC131082 OCY131082 OMU131082 OWQ131082 PGM131082 PQI131082 QAE131082 QKA131082 QTW131082 RDS131082 RNO131082 RXK131082 SHG131082 SRC131082 TAY131082 TKU131082 TUQ131082 UEM131082 UOI131082 UYE131082 VIA131082 VRW131082 WBS131082 WLO131082 WVK131082 C196618 IY196618 SU196618 ACQ196618 AMM196618 AWI196618 BGE196618 BQA196618 BZW196618 CJS196618 CTO196618 DDK196618 DNG196618 DXC196618 EGY196618 EQU196618 FAQ196618 FKM196618 FUI196618 GEE196618 GOA196618 GXW196618 HHS196618 HRO196618 IBK196618 ILG196618 IVC196618 JEY196618 JOU196618 JYQ196618 KIM196618 KSI196618 LCE196618 LMA196618 LVW196618 MFS196618 MPO196618 MZK196618 NJG196618 NTC196618 OCY196618 OMU196618 OWQ196618 PGM196618 PQI196618 QAE196618 QKA196618 QTW196618 RDS196618 RNO196618 RXK196618 SHG196618 SRC196618 TAY196618 TKU196618 TUQ196618 UEM196618 UOI196618 UYE196618 VIA196618 VRW196618 WBS196618 WLO196618 WVK196618 C262154 IY262154 SU262154 ACQ262154 AMM262154 AWI262154 BGE262154 BQA262154 BZW262154 CJS262154 CTO262154 DDK262154 DNG262154 DXC262154 EGY262154 EQU262154 FAQ262154 FKM262154 FUI262154 GEE262154 GOA262154 GXW262154 HHS262154 HRO262154 IBK262154 ILG262154 IVC262154 JEY262154 JOU262154 JYQ262154 KIM262154 KSI262154 LCE262154 LMA262154 LVW262154 MFS262154 MPO262154 MZK262154 NJG262154 NTC262154 OCY262154 OMU262154 OWQ262154 PGM262154 PQI262154 QAE262154 QKA262154 QTW262154 RDS262154 RNO262154 RXK262154 SHG262154 SRC262154 TAY262154 TKU262154 TUQ262154 UEM262154 UOI262154 UYE262154 VIA262154 VRW262154 WBS262154 WLO262154 WVK262154 C327690 IY327690 SU327690 ACQ327690 AMM327690 AWI327690 BGE327690 BQA327690 BZW327690 CJS327690 CTO327690 DDK327690 DNG327690 DXC327690 EGY327690 EQU327690 FAQ327690 FKM327690 FUI327690 GEE327690 GOA327690 GXW327690 HHS327690 HRO327690 IBK327690 ILG327690 IVC327690 JEY327690 JOU327690 JYQ327690 KIM327690 KSI327690 LCE327690 LMA327690 LVW327690 MFS327690 MPO327690 MZK327690 NJG327690 NTC327690 OCY327690 OMU327690 OWQ327690 PGM327690 PQI327690 QAE327690 QKA327690 QTW327690 RDS327690 RNO327690 RXK327690 SHG327690 SRC327690 TAY327690 TKU327690 TUQ327690 UEM327690 UOI327690 UYE327690 VIA327690 VRW327690 WBS327690 WLO327690 WVK327690 C393226 IY393226 SU393226 ACQ393226 AMM393226 AWI393226 BGE393226 BQA393226 BZW393226 CJS393226 CTO393226 DDK393226 DNG393226 DXC393226 EGY393226 EQU393226 FAQ393226 FKM393226 FUI393226 GEE393226 GOA393226 GXW393226 HHS393226 HRO393226 IBK393226 ILG393226 IVC393226 JEY393226 JOU393226 JYQ393226 KIM393226 KSI393226 LCE393226 LMA393226 LVW393226 MFS393226 MPO393226 MZK393226 NJG393226 NTC393226 OCY393226 OMU393226 OWQ393226 PGM393226 PQI393226 QAE393226 QKA393226 QTW393226 RDS393226 RNO393226 RXK393226 SHG393226 SRC393226 TAY393226 TKU393226 TUQ393226 UEM393226 UOI393226 UYE393226 VIA393226 VRW393226 WBS393226 WLO393226 WVK393226 C458762 IY458762 SU458762 ACQ458762 AMM458762 AWI458762 BGE458762 BQA458762 BZW458762 CJS458762 CTO458762 DDK458762 DNG458762 DXC458762 EGY458762 EQU458762 FAQ458762 FKM458762 FUI458762 GEE458762 GOA458762 GXW458762 HHS458762 HRO458762 IBK458762 ILG458762 IVC458762 JEY458762 JOU458762 JYQ458762 KIM458762 KSI458762 LCE458762 LMA458762 LVW458762 MFS458762 MPO458762 MZK458762 NJG458762 NTC458762 OCY458762 OMU458762 OWQ458762 PGM458762 PQI458762 QAE458762 QKA458762 QTW458762 RDS458762 RNO458762 RXK458762 SHG458762 SRC458762 TAY458762 TKU458762 TUQ458762 UEM458762 UOI458762 UYE458762 VIA458762 VRW458762 WBS458762 WLO458762 WVK458762 C524298 IY524298 SU524298 ACQ524298 AMM524298 AWI524298 BGE524298 BQA524298 BZW524298 CJS524298 CTO524298 DDK524298 DNG524298 DXC524298 EGY524298 EQU524298 FAQ524298 FKM524298 FUI524298 GEE524298 GOA524298 GXW524298 HHS524298 HRO524298 IBK524298 ILG524298 IVC524298 JEY524298 JOU524298 JYQ524298 KIM524298 KSI524298 LCE524298 LMA524298 LVW524298 MFS524298 MPO524298 MZK524298 NJG524298 NTC524298 OCY524298 OMU524298 OWQ524298 PGM524298 PQI524298 QAE524298 QKA524298 QTW524298 RDS524298 RNO524298 RXK524298 SHG524298 SRC524298 TAY524298 TKU524298 TUQ524298 UEM524298 UOI524298 UYE524298 VIA524298 VRW524298 WBS524298 WLO524298 WVK524298 C589834 IY589834 SU589834 ACQ589834 AMM589834 AWI589834 BGE589834 BQA589834 BZW589834 CJS589834 CTO589834 DDK589834 DNG589834 DXC589834 EGY589834 EQU589834 FAQ589834 FKM589834 FUI589834 GEE589834 GOA589834 GXW589834 HHS589834 HRO589834 IBK589834 ILG589834 IVC589834 JEY589834 JOU589834 JYQ589834 KIM589834 KSI589834 LCE589834 LMA589834 LVW589834 MFS589834 MPO589834 MZK589834 NJG589834 NTC589834 OCY589834 OMU589834 OWQ589834 PGM589834 PQI589834 QAE589834 QKA589834 QTW589834 RDS589834 RNO589834 RXK589834 SHG589834 SRC589834 TAY589834 TKU589834 TUQ589834 UEM589834 UOI589834 UYE589834 VIA589834 VRW589834 WBS589834 WLO589834 WVK589834 C655370 IY655370 SU655370 ACQ655370 AMM655370 AWI655370 BGE655370 BQA655370 BZW655370 CJS655370 CTO655370 DDK655370 DNG655370 DXC655370 EGY655370 EQU655370 FAQ655370 FKM655370 FUI655370 GEE655370 GOA655370 GXW655370 HHS655370 HRO655370 IBK655370 ILG655370 IVC655370 JEY655370 JOU655370 JYQ655370 KIM655370 KSI655370 LCE655370 LMA655370 LVW655370 MFS655370 MPO655370 MZK655370 NJG655370 NTC655370 OCY655370 OMU655370 OWQ655370 PGM655370 PQI655370 QAE655370 QKA655370 QTW655370 RDS655370 RNO655370 RXK655370 SHG655370 SRC655370 TAY655370 TKU655370 TUQ655370 UEM655370 UOI655370 UYE655370 VIA655370 VRW655370 WBS655370 WLO655370 WVK655370 C720906 IY720906 SU720906 ACQ720906 AMM720906 AWI720906 BGE720906 BQA720906 BZW720906 CJS720906 CTO720906 DDK720906 DNG720906 DXC720906 EGY720906 EQU720906 FAQ720906 FKM720906 FUI720906 GEE720906 GOA720906 GXW720906 HHS720906 HRO720906 IBK720906 ILG720906 IVC720906 JEY720906 JOU720906 JYQ720906 KIM720906 KSI720906 LCE720906 LMA720906 LVW720906 MFS720906 MPO720906 MZK720906 NJG720906 NTC720906 OCY720906 OMU720906 OWQ720906 PGM720906 PQI720906 QAE720906 QKA720906 QTW720906 RDS720906 RNO720906 RXK720906 SHG720906 SRC720906 TAY720906 TKU720906 TUQ720906 UEM720906 UOI720906 UYE720906 VIA720906 VRW720906 WBS720906 WLO720906 WVK720906 C786442 IY786442 SU786442 ACQ786442 AMM786442 AWI786442 BGE786442 BQA786442 BZW786442 CJS786442 CTO786442 DDK786442 DNG786442 DXC786442 EGY786442 EQU786442 FAQ786442 FKM786442 FUI786442 GEE786442 GOA786442 GXW786442 HHS786442 HRO786442 IBK786442 ILG786442 IVC786442 JEY786442 JOU786442 JYQ786442 KIM786442 KSI786442 LCE786442 LMA786442 LVW786442 MFS786442 MPO786442 MZK786442 NJG786442 NTC786442 OCY786442 OMU786442 OWQ786442 PGM786442 PQI786442 QAE786442 QKA786442 QTW786442 RDS786442 RNO786442 RXK786442 SHG786442 SRC786442 TAY786442 TKU786442 TUQ786442 UEM786442 UOI786442 UYE786442 VIA786442 VRW786442 WBS786442 WLO786442 WVK786442 C851978 IY851978 SU851978 ACQ851978 AMM851978 AWI851978 BGE851978 BQA851978 BZW851978 CJS851978 CTO851978 DDK851978 DNG851978 DXC851978 EGY851978 EQU851978 FAQ851978 FKM851978 FUI851978 GEE851978 GOA851978 GXW851978 HHS851978 HRO851978 IBK851978 ILG851978 IVC851978 JEY851978 JOU851978 JYQ851978 KIM851978 KSI851978 LCE851978 LMA851978 LVW851978 MFS851978 MPO851978 MZK851978 NJG851978 NTC851978 OCY851978 OMU851978 OWQ851978 PGM851978 PQI851978 QAE851978 QKA851978 QTW851978 RDS851978 RNO851978 RXK851978 SHG851978 SRC851978 TAY851978 TKU851978 TUQ851978 UEM851978 UOI851978 UYE851978 VIA851978 VRW851978 WBS851978 WLO851978 WVK851978 C917514 IY917514 SU917514 ACQ917514 AMM917514 AWI917514 BGE917514 BQA917514 BZW917514 CJS917514 CTO917514 DDK917514 DNG917514 DXC917514 EGY917514 EQU917514 FAQ917514 FKM917514 FUI917514 GEE917514 GOA917514 GXW917514 HHS917514 HRO917514 IBK917514 ILG917514 IVC917514 JEY917514 JOU917514 JYQ917514 KIM917514 KSI917514 LCE917514 LMA917514 LVW917514 MFS917514 MPO917514 MZK917514 NJG917514 NTC917514 OCY917514 OMU917514 OWQ917514 PGM917514 PQI917514 QAE917514 QKA917514 QTW917514 RDS917514 RNO917514 RXK917514 SHG917514 SRC917514 TAY917514 TKU917514 TUQ917514 UEM917514 UOI917514 UYE917514 VIA917514 VRW917514 WBS917514 WLO917514 WVK917514 C983050 IY983050 SU983050 ACQ983050 AMM983050 AWI983050 BGE983050 BQA983050 BZW983050 CJS983050 CTO983050 DDK983050 DNG983050 DXC983050 EGY983050 EQU983050 FAQ983050 FKM983050 FUI983050 GEE983050 GOA983050 GXW983050 HHS983050 HRO983050 IBK983050 ILG983050 IVC983050 JEY983050 JOU983050 JYQ983050 KIM983050 KSI983050 LCE983050 LMA983050 LVW983050 MFS983050 MPO983050 MZK983050 NJG983050 NTC983050 OCY983050 OMU983050 OWQ983050 PGM983050 PQI983050 QAE983050 QKA983050 QTW983050 RDS983050 RNO983050 RXK983050 SHG983050 SRC983050 TAY983050 TKU983050 TUQ983050 UEM983050 UOI983050 UYE983050 VIA983050 VRW983050 WBS983050 WLO983050 WVK983050">
      <formula1>"Да, Нет"</formula1>
    </dataValidation>
  </dataValidations>
  <pageMargins left="0.19685039370078741" right="0.19685039370078741" top="0.74803149606299213" bottom="0.15748031496062992" header="0.31496062992125984" footer="0.31496062992125984"/>
  <pageSetup paperSize="9" scale="50" orientation="landscape" r:id="rId1"/>
  <rowBreaks count="4" manualBreakCount="4">
    <brk id="42" max="14" man="1"/>
    <brk id="65" max="14" man="1"/>
    <brk id="97" max="12" man="1"/>
    <brk id="132"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ВО корр-ка 2023 </vt:lpstr>
      <vt:lpstr>'ВО корр-ка 2023 '!Заголовки_для_печати</vt:lpstr>
      <vt:lpstr>'ВО корр-ка 2023 '!Область_печати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Наталья Тимофеевна Шеховцева</dc:creator>
  <cp:lastModifiedBy>Adm</cp:lastModifiedBy>
  <cp:lastPrinted>2022-11-29T07:52:55Z</cp:lastPrinted>
  <dcterms:created xsi:type="dcterms:W3CDTF">2020-10-22T01:29:37Z</dcterms:created>
  <dcterms:modified xsi:type="dcterms:W3CDTF">2023-02-21T01:06:41Z</dcterms:modified>
</cp:coreProperties>
</file>